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activeTab="1"/>
  </bookViews>
  <sheets>
    <sheet name="Monto de Obra" sheetId="1" r:id="rId1"/>
    <sheet name="Calculo de Honorarios" sheetId="2" r:id="rId2"/>
    <sheet name="Anexos" sheetId="3" r:id="rId3"/>
    <sheet name="Hoja1" sheetId="4" state="hidden" r:id="rId4"/>
  </sheets>
  <definedNames>
    <definedName name="_xlnm.Print_Area" localSheetId="2">'Anexos'!$A$1:$J$32</definedName>
  </definedNames>
  <calcPr fullCalcOnLoad="1"/>
</workbook>
</file>

<file path=xl/sharedStrings.xml><?xml version="1.0" encoding="utf-8"?>
<sst xmlns="http://schemas.openxmlformats.org/spreadsheetml/2006/main" count="336" uniqueCount="186">
  <si>
    <t>Viviendas  Unifamiliares</t>
  </si>
  <si>
    <t xml:space="preserve">Prefabricadas de madera u otros materiales con terminación buena   </t>
  </si>
  <si>
    <t>Viviendas  de mampostería  o similar hasta 60m2</t>
  </si>
  <si>
    <t>Viviendas de mampostería  o similar hasta 150m2</t>
  </si>
  <si>
    <t>Viviendas  Multifamiliares o Colectivas</t>
  </si>
  <si>
    <t>Sin ascensor -  sin locales comerciales u oficinas</t>
  </si>
  <si>
    <t>Sin ascensor  - con locales comerciales u oficinas</t>
  </si>
  <si>
    <t>Con  ascensor  - sin locales comerciales u oficinas</t>
  </si>
  <si>
    <t>Con ascensor - con locales comerciales u oficinas</t>
  </si>
  <si>
    <t>Edificios Comerciales</t>
  </si>
  <si>
    <t>Oficinas y/o comercios en planta baja</t>
  </si>
  <si>
    <t>Oficinas y/o comercios con ascensor o escalera mecánicas</t>
  </si>
  <si>
    <t>Galerías comerciales en un solo nivel</t>
  </si>
  <si>
    <t>Galerías comerciales en varios niveles</t>
  </si>
  <si>
    <t>CATEGORÍA DE DEPARTAMENTO CONSTRUCCIONES - INDICES INDICATIVOS</t>
  </si>
  <si>
    <t>Tinglados y cobertizos sin cerramientos ni locales complementarios</t>
  </si>
  <si>
    <t>Deposito  con cerramiento de mampostería en varias plantas</t>
  </si>
  <si>
    <t>Edificios Especiales</t>
  </si>
  <si>
    <t>Depositos - Galpones  - Cocheras</t>
  </si>
  <si>
    <t>Hospedajes - Hosterias -moteles</t>
  </si>
  <si>
    <t xml:space="preserve">Hoteles de primera categoría ( 4 y 5 estrellas ) - Resort Hotel </t>
  </si>
  <si>
    <t>Hoteles de otras categorias - pequeños spa</t>
  </si>
  <si>
    <t>Restaurantes - bares - confiterías  locales bailables o similares</t>
  </si>
  <si>
    <t xml:space="preserve">Panteones o similares </t>
  </si>
  <si>
    <t>Cines - Teatros - salas de espectaculos</t>
  </si>
  <si>
    <t>Salas velatorias</t>
  </si>
  <si>
    <t>Estaciones de Servicio para automotores</t>
  </si>
  <si>
    <t>Nichos</t>
  </si>
  <si>
    <t>Colegios - Internados escuelas - jardines de Infantes</t>
  </si>
  <si>
    <t>Gimnasio y escuelas deportivas con cubierta matálica</t>
  </si>
  <si>
    <t>Gimnasio y escuelas deportivas con cubierta de Hº Aº</t>
  </si>
  <si>
    <t>Bancos - Instituciones de creditos etc</t>
  </si>
  <si>
    <t>OTROS</t>
  </si>
  <si>
    <t>Consultorios  o  dispensarios , sin internación</t>
  </si>
  <si>
    <t>clubes sedes sociales - Salones de fiesta</t>
  </si>
  <si>
    <t>Demoliciones simples de mamposterias y cubiertas metálicas</t>
  </si>
  <si>
    <t>Demoliciones de estructuras de Hº Aº o de estructuras metálicas</t>
  </si>
  <si>
    <t xml:space="preserve"> Prefabricadas de madera u otros materiales con terminación económica</t>
  </si>
  <si>
    <t xml:space="preserve">Valor Testigo: </t>
  </si>
  <si>
    <t xml:space="preserve">Estaciones de pasajeros de Colectivos </t>
  </si>
  <si>
    <t>Monto de Obra</t>
  </si>
  <si>
    <t>HONORARIOS</t>
  </si>
  <si>
    <t>APORTE 5 %</t>
  </si>
  <si>
    <t>HASTA</t>
  </si>
  <si>
    <t>ENTRE</t>
  </si>
  <si>
    <t>MAYOR QUE</t>
  </si>
  <si>
    <t>Aporte 5%</t>
  </si>
  <si>
    <t>Total:</t>
  </si>
  <si>
    <t>CATEGORIA DE OBRAS POR USOS</t>
  </si>
  <si>
    <t>VALOR</t>
  </si>
  <si>
    <t>M2</t>
  </si>
  <si>
    <t xml:space="preserve">            CONFECCION DE PLANO</t>
  </si>
  <si>
    <t>Art. 57 a-b</t>
  </si>
  <si>
    <t>Art. 57 a</t>
  </si>
  <si>
    <t>PROCREAR</t>
  </si>
  <si>
    <t>Ref.</t>
  </si>
  <si>
    <t>Coef.</t>
  </si>
  <si>
    <t>Viviendas de mampostería  o similar hasta 250m2</t>
  </si>
  <si>
    <t>Viviendas de mampostería  o similar mayor de 250 m 2</t>
  </si>
  <si>
    <t>Viviendas  IN.VI.CO  ( planes de viviendas nuevas)</t>
  </si>
  <si>
    <t xml:space="preserve"> Cualquiera de los items anteriores se incrementa  un 0,05  por construcción con losa</t>
  </si>
  <si>
    <t>VIVIENDA CON LOSA  *</t>
  </si>
  <si>
    <t xml:space="preserve">Cualquiera de los items anteriores se incrementa  un 0,05  por cada servicio complementario </t>
  </si>
  <si>
    <t>EDIFICIO CON SERVICIOS COMPLEMENTARIOS  *</t>
  </si>
  <si>
    <t>Oficinas y/o comercios en varias plantas sin  ascensor o escaleras mecánicas</t>
  </si>
  <si>
    <t xml:space="preserve">Pensionado </t>
  </si>
  <si>
    <t>Iglesias - Templos ( 1º  categoria buenas terminaciones y calidad de materiales)</t>
  </si>
  <si>
    <t>Iglesias - Templos ( 2º  categoria buenas terminaciones y calidad de materiales)</t>
  </si>
  <si>
    <t>Hospitales - sanatorios  con internación</t>
  </si>
  <si>
    <t>Hospitales - sanatorios  con internación  (alta complejidad)</t>
  </si>
  <si>
    <t>Penitenciarias</t>
  </si>
  <si>
    <t>ingresar suerficie en cuadro  celeste en las categorias que correspondan</t>
  </si>
  <si>
    <t>Hasta</t>
  </si>
  <si>
    <t>Entre</t>
  </si>
  <si>
    <t>Mayor que</t>
  </si>
  <si>
    <t>MONTO DE OBRA TOTAL</t>
  </si>
  <si>
    <t>MONTO DE LA OBRA TOTAL</t>
  </si>
  <si>
    <t>Art. 72º</t>
  </si>
  <si>
    <t>Usado para tareas de copias de planos o confección en base a un antecedente, se precisa de copia del plano visado o aprobado por municipalidad o plano registrado en el Consejo</t>
  </si>
  <si>
    <t>Usado para tareas de Relevamiento y confección de planos en construcciones que no posean antecedentes de aprobaciíon municipal  NI FUERON REGISTRADAS LAS TAREAS en el Consejo</t>
  </si>
  <si>
    <t>ARQUITECTURA</t>
  </si>
  <si>
    <t>PROYECTO</t>
  </si>
  <si>
    <t xml:space="preserve">DIRECCION </t>
  </si>
  <si>
    <t>+ 25%</t>
  </si>
  <si>
    <t>ESTRUCTURA</t>
  </si>
  <si>
    <t>INSTALACIONES ELECTRICAS</t>
  </si>
  <si>
    <t>PROYECTO Y DIRECCION</t>
  </si>
  <si>
    <t>INSTALACIONES SANITARIAS</t>
  </si>
  <si>
    <t>INSTALACIONES CLOACALES Y DESAGÜE PLUVIAL</t>
  </si>
  <si>
    <t>INSTALACION DE GAS</t>
  </si>
  <si>
    <t>REPRESENTACION TECNICA</t>
  </si>
  <si>
    <t>CONFECCION DE PLANO</t>
  </si>
  <si>
    <t>RELEVAMIENTO</t>
  </si>
  <si>
    <t>DESGLOCE DE  HONORARIOS PARA TAREA PROYECTO Y DIRECCION</t>
  </si>
  <si>
    <t>DESGLOCE DE  HONORARIOS PARA TAREA REPRESENTACION TECNICA - CONFECCION DE PLANO - RELEVAMIENTO</t>
  </si>
  <si>
    <t>SUMATORIA DE TAREAS</t>
  </si>
  <si>
    <r>
      <t xml:space="preserve">escriba = seleccione la </t>
    </r>
    <r>
      <rPr>
        <u val="single"/>
        <sz val="10"/>
        <color indexed="8"/>
        <rFont val="Calibri"/>
        <family val="2"/>
      </rPr>
      <t>casilla</t>
    </r>
    <r>
      <rPr>
        <sz val="10"/>
        <color indexed="8"/>
        <rFont val="Calibri"/>
        <family val="2"/>
      </rPr>
      <t xml:space="preserve"> del honorario según la tarea correspondiente + si hubiere mas de una tarea luego </t>
    </r>
    <r>
      <rPr>
        <b/>
        <sz val="10"/>
        <color indexed="8"/>
        <rFont val="Calibri"/>
        <family val="2"/>
      </rPr>
      <t>Enter</t>
    </r>
  </si>
  <si>
    <t xml:space="preserve">Coloque la formula de Suma para obtener el total de Honorarios según todas las tareas que realice.  </t>
  </si>
  <si>
    <t>Se toma un porcentaje de incidencia para una obra estandar Vivienda Unifamiliar. Cabe aclarar que la incidencia de los items en cada obra son particulares y deben ser determinados por cada Profesional. Por lo cual esta subdivision es meramente esquematica</t>
  </si>
  <si>
    <t xml:space="preserve">Con ADICIONAL de Direccion de Obra por interpretacion del Proyecto de otro profesional </t>
  </si>
  <si>
    <t>Galpones Depósito c/cerramiento de =&lt; a 6m y 20 m2 de locales complementarios</t>
  </si>
  <si>
    <t>Galpones Depósito c/cerramiento de luces &gt; a 6m, =&lt; a 5m de alt. y hasta 100m2 de locales complementarios</t>
  </si>
  <si>
    <t>Galpones Depósito c/cerramiento de luces &gt; a 6m, &gt;  a 5m de alt. c/+ de 100m2 de locales complementarios</t>
  </si>
  <si>
    <t xml:space="preserve">Cocheras descubiertas  o con con estructuras de techos  livianas </t>
  </si>
  <si>
    <t>Cocheras con cerramientos de mampostería y techo de Hº Aº en un nivel</t>
  </si>
  <si>
    <t>Cocheras con cerramientos de mampostería y techo de Hº Aº en varios niveles</t>
  </si>
  <si>
    <t>Edificios industriales p/ talleres o simil de pequeñas maquinarias</t>
  </si>
  <si>
    <r>
      <t>Edificios industriales p/ talleres o simil c/instalaciones especiales</t>
    </r>
    <r>
      <rPr>
        <sz val="14"/>
        <color indexed="8"/>
        <rFont val="Calibri"/>
        <family val="2"/>
      </rPr>
      <t xml:space="preserve"> (*)</t>
    </r>
    <r>
      <rPr>
        <sz val="11"/>
        <color theme="1"/>
        <rFont val="Calibri"/>
        <family val="2"/>
      </rPr>
      <t xml:space="preserve">  y locales complementarios</t>
    </r>
  </si>
  <si>
    <t>Los galpones que tienen como destino LOCALES COMERCIALES ingresan en la categoria inmediatamente superior de: " Edificios Comerciales y/o Oficinas"</t>
  </si>
  <si>
    <r>
      <rPr>
        <sz val="18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 </t>
    </r>
    <r>
      <rPr>
        <b/>
        <u val="single"/>
        <sz val="12"/>
        <color indexed="8"/>
        <rFont val="Calibri"/>
        <family val="2"/>
      </rPr>
      <t>Instalaciones especiales:</t>
    </r>
    <r>
      <rPr>
        <sz val="12"/>
        <color indexed="8"/>
        <rFont val="Calibri"/>
        <family val="2"/>
      </rPr>
      <t xml:space="preserve">  Instalación para maquinas industriales - Cintas transportadoras  - desagues para residuos sólidos industriales (RSI)- Cámaras de frío - calderas etc.-</t>
    </r>
  </si>
  <si>
    <r>
      <t xml:space="preserve">   * Sumarle al items que corresponde  un </t>
    </r>
    <r>
      <rPr>
        <b/>
        <sz val="11"/>
        <color indexed="8"/>
        <rFont val="Calibri"/>
        <family val="2"/>
      </rPr>
      <t>0,05</t>
    </r>
    <r>
      <rPr>
        <sz val="11"/>
        <color theme="1"/>
        <rFont val="Calibri"/>
        <family val="2"/>
      </rPr>
      <t xml:space="preserve">  por ejemplo un edificio con ascensor y oficinas y </t>
    </r>
    <r>
      <rPr>
        <b/>
        <sz val="11"/>
        <color indexed="8"/>
        <rFont val="Calibri"/>
        <family val="2"/>
      </rPr>
      <t>con pileta y spa</t>
    </r>
    <r>
      <rPr>
        <sz val="11"/>
        <color theme="1"/>
        <rFont val="Calibri"/>
        <family val="2"/>
      </rPr>
      <t xml:space="preserve">  tendra un coeficiente de </t>
    </r>
    <r>
      <rPr>
        <b/>
        <i/>
        <sz val="11"/>
        <color indexed="8"/>
        <rFont val="Calibri"/>
        <family val="2"/>
      </rPr>
      <t>1,40</t>
    </r>
  </si>
  <si>
    <r>
      <t xml:space="preserve">   * Sumarle al items que corresponde  un </t>
    </r>
    <r>
      <rPr>
        <b/>
        <sz val="11"/>
        <color indexed="8"/>
        <rFont val="Calibri"/>
        <family val="2"/>
      </rPr>
      <t>0,05</t>
    </r>
    <r>
      <rPr>
        <sz val="11"/>
        <color theme="1"/>
        <rFont val="Calibri"/>
        <family val="2"/>
      </rPr>
      <t xml:space="preserve">  por ejemplo una casa de       180m2 </t>
    </r>
    <r>
      <rPr>
        <b/>
        <i/>
        <sz val="11"/>
        <color indexed="8"/>
        <rFont val="Calibri"/>
        <family val="2"/>
      </rPr>
      <t>con losa</t>
    </r>
    <r>
      <rPr>
        <sz val="11"/>
        <color theme="1"/>
        <rFont val="Calibri"/>
        <family val="2"/>
      </rPr>
      <t xml:space="preserve"> tendra un coeficiente de </t>
    </r>
    <r>
      <rPr>
        <b/>
        <sz val="11"/>
        <color indexed="8"/>
        <rFont val="Calibri"/>
        <family val="2"/>
      </rPr>
      <t>1,25</t>
    </r>
  </si>
  <si>
    <r>
      <rPr>
        <b/>
        <i/>
        <u val="single"/>
        <sz val="14"/>
        <color indexed="8"/>
        <rFont val="Calibri"/>
        <family val="2"/>
      </rPr>
      <t>Servicios  complementarios</t>
    </r>
    <r>
      <rPr>
        <b/>
        <i/>
        <sz val="14"/>
        <color indexed="8"/>
        <rFont val="Calibri"/>
        <family val="2"/>
      </rPr>
      <t xml:space="preserve">: S.U.M -  Sectores de parrillas  - piletas de uso común - Gimnasio - Spa  - cancha deportivas - sala de juegos comunes - parques - etc  </t>
    </r>
  </si>
  <si>
    <r>
      <t xml:space="preserve">Usado para tareas de proyectista y Director de Obras para OBRAS NUEVAS  - tener en cuenta que el honorario obtenido  es el </t>
    </r>
    <r>
      <rPr>
        <b/>
        <sz val="11"/>
        <color indexed="8"/>
        <rFont val="Calibri"/>
        <family val="2"/>
      </rPr>
      <t>total</t>
    </r>
    <r>
      <rPr>
        <sz val="11"/>
        <color theme="1"/>
        <rFont val="Calibri"/>
        <family val="2"/>
      </rPr>
      <t xml:space="preserve"> si fuera necesario se deberá subdividir   según las diversas tareas q  correspondan a cada profesional.-</t>
    </r>
  </si>
  <si>
    <t>TRATAMIENTO DE SUPERFICIES DESCUBIERTAS</t>
  </si>
  <si>
    <t>Superficie libre tratada para Piscinas al aire libre</t>
  </si>
  <si>
    <t>Superficie libre tratada para diseño urbano descubierto</t>
  </si>
  <si>
    <t xml:space="preserve">Superficie libre tratada para paisajismo </t>
  </si>
  <si>
    <t>Pavimentos  o  solados en playas de estacionamiento - playas de maniobras etc</t>
  </si>
  <si>
    <t>Art. 112º (obra pública)</t>
  </si>
  <si>
    <t>Art. 113º (obra privada)</t>
  </si>
  <si>
    <t>Representacion Técnica (importe adoptado)</t>
  </si>
  <si>
    <t>REPRESENTACIÓN TÉCNICA OBRA PRIVADA</t>
  </si>
  <si>
    <t>Relevamiento y Confección de planos</t>
  </si>
  <si>
    <t>Art. 57a</t>
  </si>
  <si>
    <t>Art. 112</t>
  </si>
  <si>
    <t>RESUMEN DE HONORARIOS Y APORTES</t>
  </si>
  <si>
    <t>TAREAS PROFESIONALES</t>
  </si>
  <si>
    <t>ARTICULOS / RESOLUCIONES</t>
  </si>
  <si>
    <t>APORTES</t>
  </si>
  <si>
    <t>Relevamiento y confección de planos (importe adoptado)</t>
  </si>
  <si>
    <t>Estas celdas deben ser completadas a mano para redondeo de cifras según corresponda</t>
  </si>
  <si>
    <t>Confección de planos (importe adoptado)</t>
  </si>
  <si>
    <r>
      <t xml:space="preserve">Para Obras de </t>
    </r>
    <r>
      <rPr>
        <b/>
        <sz val="10"/>
        <rFont val="Arial"/>
        <family val="2"/>
      </rPr>
      <t>Refacción</t>
    </r>
    <r>
      <rPr>
        <sz val="10"/>
        <rFont val="Arial"/>
        <family val="2"/>
      </rPr>
      <t xml:space="preserve"> se aplica el </t>
    </r>
    <r>
      <rPr>
        <b/>
        <sz val="10"/>
        <rFont val="Arial"/>
        <family val="2"/>
      </rPr>
      <t>Art. 76</t>
    </r>
    <r>
      <rPr>
        <sz val="10"/>
        <rFont val="Arial"/>
        <family val="2"/>
      </rPr>
      <t xml:space="preserve"> , El mismo se calcula aplicando primero el </t>
    </r>
    <r>
      <rPr>
        <b/>
        <sz val="10"/>
        <rFont val="Arial"/>
        <family val="2"/>
      </rPr>
      <t>Art 72ª</t>
    </r>
    <r>
      <rPr>
        <sz val="10"/>
        <rFont val="Arial"/>
        <family val="2"/>
      </rPr>
      <t xml:space="preserve">  y se suma un </t>
    </r>
    <r>
      <rPr>
        <b/>
        <sz val="10"/>
        <rFont val="Arial"/>
        <family val="2"/>
      </rPr>
      <t>50% más</t>
    </r>
    <r>
      <rPr>
        <sz val="10"/>
        <rFont val="Arial"/>
        <family val="2"/>
      </rPr>
      <t xml:space="preserve"> al honorario obtenido.-</t>
    </r>
  </si>
  <si>
    <t>Proyecto (60%)</t>
  </si>
  <si>
    <t>Parcial</t>
  </si>
  <si>
    <t>Confección de planos</t>
  </si>
  <si>
    <t>Art. 72</t>
  </si>
  <si>
    <t>Art. 113</t>
  </si>
  <si>
    <t>Representación Técnica "obra pública"</t>
  </si>
  <si>
    <t>Representación Técnica "obra privada"</t>
  </si>
  <si>
    <t>Total honorarios y aportes</t>
  </si>
  <si>
    <r>
      <rPr>
        <b/>
        <i/>
        <sz val="11"/>
        <color indexed="8"/>
        <rFont val="Calibri"/>
        <family val="2"/>
      </rPr>
      <t>Modo de uso:</t>
    </r>
    <r>
      <rPr>
        <sz val="11"/>
        <color theme="1"/>
        <rFont val="Calibri"/>
        <family val="2"/>
      </rPr>
      <t xml:space="preserve"> Cargar el monto de obra total en el casillero celeste en la fila que corresponda (</t>
    </r>
    <r>
      <rPr>
        <i/>
        <sz val="11"/>
        <color indexed="8"/>
        <rFont val="Calibri"/>
        <family val="2"/>
      </rPr>
      <t xml:space="preserve">por ejemplo si el monto fuera </t>
    </r>
    <r>
      <rPr>
        <b/>
        <i/>
        <sz val="11"/>
        <color indexed="8"/>
        <rFont val="Calibri"/>
        <family val="2"/>
      </rPr>
      <t xml:space="preserve">$2.500.000 </t>
    </r>
    <r>
      <rPr>
        <i/>
        <sz val="11"/>
        <color indexed="8"/>
        <rFont val="Calibri"/>
        <family val="2"/>
      </rPr>
      <t>estará entre $ 1.344.001 y $ 4.200.000</t>
    </r>
    <r>
      <rPr>
        <sz val="11"/>
        <color theme="1"/>
        <rFont val="Calibri"/>
        <family val="2"/>
      </rPr>
      <t xml:space="preserve">). Darle ENTER, y en la misma fila aparecera el  </t>
    </r>
    <r>
      <rPr>
        <b/>
        <sz val="11"/>
        <color indexed="8"/>
        <rFont val="Calibri"/>
        <family val="2"/>
      </rPr>
      <t>Honorario</t>
    </r>
    <r>
      <rPr>
        <sz val="11"/>
        <color theme="1"/>
        <rFont val="Calibri"/>
        <family val="2"/>
      </rPr>
      <t xml:space="preserve"> y su correspondiente </t>
    </r>
    <r>
      <rPr>
        <b/>
        <sz val="11"/>
        <color indexed="8"/>
        <rFont val="Calibri"/>
        <family val="2"/>
      </rPr>
      <t>aporte.-</t>
    </r>
  </si>
  <si>
    <r>
      <rPr>
        <b/>
        <sz val="11"/>
        <color indexed="8"/>
        <rFont val="Calibri"/>
        <family val="2"/>
      </rPr>
      <t>Modo de uso:</t>
    </r>
    <r>
      <rPr>
        <sz val="11"/>
        <color theme="1"/>
        <rFont val="Calibri"/>
        <family val="2"/>
      </rPr>
      <t xml:space="preserve"> Cargar el monto de obra total en el casillero celeste en la fila que corresponda (por ejemplo si el monto fuera </t>
    </r>
    <r>
      <rPr>
        <b/>
        <sz val="11"/>
        <color indexed="8"/>
        <rFont val="Calibri"/>
        <family val="2"/>
      </rPr>
      <t>$ 4.500.000</t>
    </r>
    <r>
      <rPr>
        <sz val="11"/>
        <color theme="1"/>
        <rFont val="Calibri"/>
        <family val="2"/>
      </rPr>
      <t xml:space="preserve"> estará entre $ 4.200.001 y $ 8.870.400). Darle ENTER, y en la misma fila aparecera el  Honorario y su correspondiente aporte.-</t>
    </r>
  </si>
  <si>
    <r>
      <rPr>
        <b/>
        <sz val="10.5"/>
        <color indexed="8"/>
        <rFont val="Calibri"/>
        <family val="2"/>
      </rPr>
      <t>Modo de uso</t>
    </r>
    <r>
      <rPr>
        <sz val="10.5"/>
        <color indexed="8"/>
        <rFont val="Calibri"/>
        <family val="2"/>
      </rPr>
      <t xml:space="preserve">: Cargar el monto de obra total en el casillero celeste en la fila que corresponda (por ejemplo si el monto fuera </t>
    </r>
    <r>
      <rPr>
        <b/>
        <sz val="10.5"/>
        <color indexed="8"/>
        <rFont val="Calibri"/>
        <family val="2"/>
      </rPr>
      <t xml:space="preserve">$ 12.500.000 </t>
    </r>
    <r>
      <rPr>
        <sz val="10.5"/>
        <color indexed="8"/>
        <rFont val="Calibri"/>
        <family val="2"/>
      </rPr>
      <t xml:space="preserve">estará entre $ 9.240.001 y $ 33.868.800). Darle ENTER, y en la misma fila aparecera el  Honorario y su correspondiente aporte </t>
    </r>
  </si>
  <si>
    <r>
      <t xml:space="preserve">Usado para tareas de REPRESENTANTE TÉCNICO solamente en el caso de obras públicas - tener en cuenta que el honorario obtenido  es el </t>
    </r>
    <r>
      <rPr>
        <b/>
        <sz val="11"/>
        <color indexed="8"/>
        <rFont val="Calibri"/>
        <family val="2"/>
      </rPr>
      <t>total</t>
    </r>
    <r>
      <rPr>
        <sz val="11"/>
        <color theme="1"/>
        <rFont val="Calibri"/>
        <family val="2"/>
      </rPr>
      <t>.</t>
    </r>
  </si>
  <si>
    <r>
      <t xml:space="preserve">Usado para tareas de REPRESENTANTE TÉCNICO solamente en el caso de obras privadas- tener en cuenta que el honorario obtenido  es el </t>
    </r>
    <r>
      <rPr>
        <b/>
        <sz val="11"/>
        <color indexed="8"/>
        <rFont val="Calibri"/>
        <family val="2"/>
      </rPr>
      <t>total</t>
    </r>
    <r>
      <rPr>
        <sz val="11"/>
        <color theme="1"/>
        <rFont val="Calibri"/>
        <family val="2"/>
      </rPr>
      <t>.</t>
    </r>
  </si>
  <si>
    <t>Introducir cifra para "redondeo"según corresponda</t>
  </si>
  <si>
    <t>Proyecto(60%)</t>
  </si>
  <si>
    <t>Dirección de Obras (40%)</t>
  </si>
  <si>
    <t>Proyecto y Dirección Art. 72 (importe adoptado)</t>
  </si>
  <si>
    <r>
      <t>Proyecto y Dirección de "</t>
    </r>
    <r>
      <rPr>
        <b/>
        <i/>
        <u val="single"/>
        <sz val="10"/>
        <rFont val="Arial"/>
        <family val="2"/>
      </rPr>
      <t>Obras de Refacción"</t>
    </r>
    <r>
      <rPr>
        <b/>
        <i/>
        <sz val="10"/>
        <rFont val="Arial"/>
        <family val="2"/>
      </rPr>
      <t xml:space="preserve"> Art.76</t>
    </r>
  </si>
  <si>
    <t>Proyecto de Obras nuevas y/o ampliación</t>
  </si>
  <si>
    <t>Dirección de Obras nuevas y/o ampliación</t>
  </si>
  <si>
    <t>Proyecto de Obras de "refacción"</t>
  </si>
  <si>
    <t>Art. 76</t>
  </si>
  <si>
    <t>Dirección de Obras de "refacción"</t>
  </si>
  <si>
    <t>Art. 76º</t>
  </si>
  <si>
    <t xml:space="preserve">   PROYECTO y DIRECCION "obras de refacción"</t>
  </si>
  <si>
    <t>Representación Técnica (importe adoptado)</t>
  </si>
  <si>
    <t xml:space="preserve">RELEVAMIENTO y CONFECCIÓN DE PLANO </t>
  </si>
  <si>
    <t>MEDICIÓN DE OBRA NUEVA</t>
  </si>
  <si>
    <t xml:space="preserve">   PROYECTO y DIRECCIÓN</t>
  </si>
  <si>
    <t>RESOLUCIÓN 07/07</t>
  </si>
  <si>
    <t>Med. de Obra Nueva  Res. 07/07 (importe adoptado)</t>
  </si>
  <si>
    <t>Cambios de fachadas - Refacciones pequeñas</t>
  </si>
  <si>
    <t xml:space="preserve"> Refacciones más complejas </t>
  </si>
  <si>
    <t>Res. 07/07</t>
  </si>
  <si>
    <t>Medición de Obra nueva</t>
  </si>
  <si>
    <t>Art.57 a-b</t>
  </si>
  <si>
    <t>REPRESENTACIÓN TÉCNICA OBRA PÚBLICA</t>
  </si>
  <si>
    <t>Cuadro (b) Resolución Nº:1/16 Industrias; 13/16 CPIAyA</t>
  </si>
  <si>
    <r>
      <t xml:space="preserve">Usado para tareas de Especialistas en Higiene y Seguridad en </t>
    </r>
    <r>
      <rPr>
        <u val="single"/>
        <sz val="11"/>
        <color indexed="8"/>
        <rFont val="Calibri"/>
        <family val="2"/>
      </rPr>
      <t xml:space="preserve">dentro de la Industria de la Construcción  </t>
    </r>
  </si>
  <si>
    <r>
      <rPr>
        <b/>
        <sz val="10.5"/>
        <color indexed="8"/>
        <rFont val="Calibri"/>
        <family val="2"/>
      </rPr>
      <t>Modo de uso</t>
    </r>
    <r>
      <rPr>
        <sz val="10.5"/>
        <color indexed="8"/>
        <rFont val="Calibri"/>
        <family val="2"/>
      </rPr>
      <t xml:space="preserve">: Cargar el monto de obra total en el casillero celeste en la fila que corresponda (por ejemplo si el monto fuera </t>
    </r>
    <r>
      <rPr>
        <b/>
        <sz val="10.5"/>
        <color indexed="8"/>
        <rFont val="Calibri"/>
        <family val="2"/>
      </rPr>
      <t xml:space="preserve">$ 4.500.000 </t>
    </r>
    <r>
      <rPr>
        <sz val="10.5"/>
        <color indexed="8"/>
        <rFont val="Calibri"/>
        <family val="2"/>
      </rPr>
      <t xml:space="preserve">estará entre $ 3.500.001 y $ 7.392.000). Darle ENTER, y </t>
    </r>
    <r>
      <rPr>
        <b/>
        <sz val="10.5"/>
        <color indexed="8"/>
        <rFont val="Calibri"/>
        <family val="2"/>
      </rPr>
      <t>en la misma fila aparecerá el importe del "Honorario y su correspondiente Aporte"</t>
    </r>
    <r>
      <rPr>
        <sz val="10.5"/>
        <color indexed="8"/>
        <rFont val="Calibri"/>
        <family val="2"/>
      </rPr>
      <t xml:space="preserve"> </t>
    </r>
  </si>
  <si>
    <t>HONORARIOS PARCIALES</t>
  </si>
  <si>
    <t xml:space="preserve">Programación (*) 30% </t>
  </si>
  <si>
    <t>Seguimiento (*) 70%</t>
  </si>
  <si>
    <t>Honorarios Totales</t>
  </si>
  <si>
    <t>INTRODUCIR IMPORTE CALCULADO</t>
  </si>
  <si>
    <t>Programa y Seguimiento H y S (importe adoptado)</t>
  </si>
  <si>
    <t>* Porcentajes SUGERIDOS</t>
  </si>
  <si>
    <t>PROG. Y SEGUIMIENTO DE H. Y SEGURIDAD (IND. de la CONSTRUCCIÓN)</t>
  </si>
  <si>
    <t xml:space="preserve">Higiene y Seguridad </t>
  </si>
  <si>
    <t>Res. 01/16</t>
  </si>
  <si>
    <t>%</t>
  </si>
  <si>
    <t>Geriatricos - Hogares de ancianos o similares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</si>
</sst>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_(&quot;$&quot;* #,##0.00_);_(&quot;$&quot;* \(#,##0.00\);_(&quot;$&quot;* &quot;-&quot;??_);_(@_)"/>
    <numFmt numFmtId="174" formatCode="_(&quot;$&quot;* #,##0_);_(&quot;$&quot;* \(#,##0\);_(&quot;$&quot;* &quot;-&quot;??_);_(@_)"/>
    <numFmt numFmtId="175" formatCode="_(&quot;$&quot;\ * #,##0.00_);_(&quot;$&quot;\ * \(#,##0.00\);_(&quot;$&quot;\ * &quot;-&quot;??_);_(@_)"/>
    <numFmt numFmtId="176" formatCode="&quot;$&quot;\ #,##0.00"/>
    <numFmt numFmtId="177" formatCode="[$$-2C0A]\ #,##0.00"/>
    <numFmt numFmtId="178" formatCode="[$-C0A]dddd\,\ dd&quot; de &quot;mmmm&quot; de &quot;yyyy"/>
    <numFmt numFmtId="179" formatCode="_ [$$-2C0A]\ * #,##0_ ;_ [$$-2C0A]\ * \-#,##0_ ;_ [$$-2C0A]\ * &quot;-&quot;??_ ;_ @_ "/>
    <numFmt numFmtId="180" formatCode="#,##0.000_ ;\-#,##0.000\ "/>
    <numFmt numFmtId="181" formatCode="#,##0.0_ ;\-#,##0.0\ "/>
    <numFmt numFmtId="182" formatCode="0.0%"/>
    <numFmt numFmtId="183" formatCode="_ * #,##0.0_ ;_ * \-#,##0.0_ ;_ * &quot;-&quot;?_ ;_ @_ 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1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1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7"/>
      <name val="Calibri"/>
      <family val="2"/>
    </font>
    <font>
      <b/>
      <sz val="14"/>
      <color indexed="62"/>
      <name val="Calibri"/>
      <family val="2"/>
    </font>
    <font>
      <b/>
      <sz val="14"/>
      <color indexed="47"/>
      <name val="Calibri"/>
      <family val="2"/>
    </font>
    <font>
      <sz val="11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sz val="22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3"/>
      <name val="Calibri"/>
      <family val="2"/>
    </font>
    <font>
      <b/>
      <sz val="12.5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30"/>
      <name val="Calibri"/>
      <family val="2"/>
    </font>
    <font>
      <sz val="30"/>
      <color indexed="8"/>
      <name val="Calibri"/>
      <family val="2"/>
    </font>
    <font>
      <sz val="3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8"/>
      <name val="Calibri"/>
      <family val="2"/>
    </font>
    <font>
      <sz val="10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  <font>
      <b/>
      <sz val="14"/>
      <color theme="3" tint="0.39998000860214233"/>
      <name val="Calibri"/>
      <family val="2"/>
    </font>
    <font>
      <b/>
      <sz val="14"/>
      <color theme="9" tint="0.7999799847602844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2.5"/>
      <color theme="1"/>
      <name val="Calibri"/>
      <family val="2"/>
    </font>
    <font>
      <b/>
      <i/>
      <sz val="12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i/>
      <sz val="11"/>
      <color theme="1"/>
      <name val="Calibri"/>
      <family val="2"/>
    </font>
    <font>
      <sz val="30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10.5"/>
      <color theme="1"/>
      <name val="Calibri"/>
      <family val="2"/>
    </font>
    <font>
      <sz val="10"/>
      <color rgb="FF00B050"/>
      <name val="Calibri"/>
      <family val="2"/>
    </font>
    <font>
      <sz val="9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CB05B3"/>
        <bgColor indexed="64"/>
      </patternFill>
    </fill>
    <fill>
      <patternFill patternType="solid">
        <fgColor rgb="FFD11B9D"/>
        <bgColor indexed="64"/>
      </patternFill>
    </fill>
    <fill>
      <patternFill patternType="solid">
        <fgColor rgb="FF2877A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 style="thin"/>
    </border>
    <border>
      <left style="medium"/>
      <right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76" fillId="20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541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44" fontId="0" fillId="0" borderId="0" xfId="0" applyNumberFormat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11" borderId="10" xfId="0" applyFill="1" applyBorder="1" applyAlignment="1" applyProtection="1">
      <alignment horizontal="center" vertical="center"/>
      <protection/>
    </xf>
    <xf numFmtId="9" fontId="0" fillId="11" borderId="11" xfId="0" applyNumberFormat="1" applyFill="1" applyBorder="1" applyAlignment="1" applyProtection="1">
      <alignment horizontal="center" vertical="center"/>
      <protection/>
    </xf>
    <xf numFmtId="0" fontId="0" fillId="11" borderId="12" xfId="0" applyFill="1" applyBorder="1" applyAlignment="1" applyProtection="1">
      <alignment horizontal="center" vertical="center" wrapText="1"/>
      <protection/>
    </xf>
    <xf numFmtId="0" fontId="8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9" fontId="0" fillId="0" borderId="13" xfId="0" applyNumberFormat="1" applyBorder="1" applyAlignment="1" applyProtection="1">
      <alignment horizontal="center" vertical="center"/>
      <protection locked="0"/>
    </xf>
    <xf numFmtId="49" fontId="0" fillId="7" borderId="14" xfId="0" applyNumberFormat="1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9" fontId="0" fillId="11" borderId="11" xfId="0" applyNumberFormat="1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 wrapText="1"/>
      <protection locked="0"/>
    </xf>
    <xf numFmtId="9" fontId="0" fillId="0" borderId="0" xfId="0" applyNumberFormat="1" applyBorder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horizontal="center" vertical="center"/>
      <protection locked="0"/>
    </xf>
    <xf numFmtId="9" fontId="0" fillId="0" borderId="11" xfId="0" applyNumberFormat="1" applyBorder="1" applyAlignment="1" applyProtection="1">
      <alignment horizontal="center" vertical="center"/>
      <protection locked="0"/>
    </xf>
    <xf numFmtId="44" fontId="0" fillId="32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9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4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44" fontId="0" fillId="0" borderId="21" xfId="0" applyNumberFormat="1" applyBorder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horizontal="center" vertical="center"/>
      <protection locked="0"/>
    </xf>
    <xf numFmtId="0" fontId="84" fillId="33" borderId="13" xfId="0" applyFont="1" applyFill="1" applyBorder="1" applyAlignment="1" applyProtection="1">
      <alignment horizontal="center" vertical="center"/>
      <protection locked="0"/>
    </xf>
    <xf numFmtId="0" fontId="84" fillId="7" borderId="14" xfId="0" applyFont="1" applyFill="1" applyBorder="1" applyAlignment="1" applyProtection="1">
      <alignment horizontal="center" vertical="center"/>
      <protection locked="0"/>
    </xf>
    <xf numFmtId="9" fontId="84" fillId="33" borderId="13" xfId="0" applyNumberFormat="1" applyFont="1" applyFill="1" applyBorder="1" applyAlignment="1" applyProtection="1">
      <alignment horizontal="center" vertical="center"/>
      <protection locked="0"/>
    </xf>
    <xf numFmtId="9" fontId="84" fillId="7" borderId="14" xfId="0" applyNumberFormat="1" applyFont="1" applyFill="1" applyBorder="1" applyAlignment="1" applyProtection="1">
      <alignment horizontal="center" vertical="center"/>
      <protection locked="0"/>
    </xf>
    <xf numFmtId="9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85" fillId="0" borderId="0" xfId="0" applyFont="1" applyAlignment="1" applyProtection="1">
      <alignment horizontal="left" vertical="center"/>
      <protection locked="0"/>
    </xf>
    <xf numFmtId="44" fontId="86" fillId="11" borderId="15" xfId="0" applyNumberFormat="1" applyFont="1" applyFill="1" applyBorder="1" applyAlignment="1" applyProtection="1">
      <alignment horizontal="center" vertical="center"/>
      <protection locked="0"/>
    </xf>
    <xf numFmtId="0" fontId="87" fillId="0" borderId="0" xfId="0" applyFont="1" applyAlignment="1" applyProtection="1">
      <alignment horizontal="center" vertical="center"/>
      <protection locked="0"/>
    </xf>
    <xf numFmtId="44" fontId="88" fillId="33" borderId="13" xfId="0" applyNumberFormat="1" applyFont="1" applyFill="1" applyBorder="1" applyAlignment="1" applyProtection="1">
      <alignment horizontal="center" vertical="center"/>
      <protection locked="0"/>
    </xf>
    <xf numFmtId="44" fontId="89" fillId="7" borderId="15" xfId="0" applyNumberFormat="1" applyFont="1" applyFill="1" applyBorder="1" applyAlignment="1" applyProtection="1">
      <alignment horizontal="center" vertical="center"/>
      <protection locked="0"/>
    </xf>
    <xf numFmtId="44" fontId="90" fillId="32" borderId="14" xfId="0" applyNumberFormat="1" applyFont="1" applyFill="1" applyBorder="1" applyAlignment="1" applyProtection="1">
      <alignment horizontal="center" vertical="center"/>
      <protection locked="0"/>
    </xf>
    <xf numFmtId="44" fontId="91" fillId="7" borderId="14" xfId="0" applyNumberFormat="1" applyFont="1" applyFill="1" applyBorder="1" applyAlignment="1" applyProtection="1">
      <alignment horizontal="center" vertical="center"/>
      <protection locked="0"/>
    </xf>
    <xf numFmtId="9" fontId="0" fillId="34" borderId="13" xfId="0" applyNumberFormat="1" applyFill="1" applyBorder="1" applyAlignment="1" applyProtection="1">
      <alignment horizontal="center" vertical="center"/>
      <protection locked="0"/>
    </xf>
    <xf numFmtId="9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35" borderId="24" xfId="0" applyFont="1" applyFill="1" applyBorder="1" applyAlignment="1" applyProtection="1">
      <alignment vertical="center"/>
      <protection locked="0"/>
    </xf>
    <xf numFmtId="0" fontId="2" fillId="35" borderId="25" xfId="0" applyFont="1" applyFill="1" applyBorder="1" applyAlignment="1" applyProtection="1">
      <alignment vertical="center"/>
      <protection locked="0"/>
    </xf>
    <xf numFmtId="0" fontId="0" fillId="35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35" borderId="27" xfId="0" applyFont="1" applyFill="1" applyBorder="1" applyAlignment="1" applyProtection="1">
      <alignment vertical="center"/>
      <protection locked="0"/>
    </xf>
    <xf numFmtId="6" fontId="5" fillId="35" borderId="28" xfId="0" applyNumberFormat="1" applyFont="1" applyFill="1" applyBorder="1" applyAlignment="1" applyProtection="1">
      <alignment vertical="center"/>
      <protection locked="0"/>
    </xf>
    <xf numFmtId="0" fontId="2" fillId="35" borderId="28" xfId="0" applyFont="1" applyFill="1" applyBorder="1" applyAlignment="1" applyProtection="1">
      <alignment vertical="center"/>
      <protection locked="0"/>
    </xf>
    <xf numFmtId="0" fontId="2" fillId="35" borderId="29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34" xfId="0" applyNumberForma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36" borderId="37" xfId="0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 horizontal="center" vertical="center" textRotation="90"/>
      <protection locked="0"/>
    </xf>
    <xf numFmtId="0" fontId="0" fillId="0" borderId="38" xfId="0" applyNumberForma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0" fillId="36" borderId="42" xfId="0" applyFill="1" applyBorder="1" applyAlignment="1" applyProtection="1">
      <alignment/>
      <protection locked="0"/>
    </xf>
    <xf numFmtId="0" fontId="0" fillId="0" borderId="43" xfId="0" applyNumberFormat="1" applyFill="1" applyBorder="1" applyAlignment="1" applyProtection="1">
      <alignment/>
      <protection locked="0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0" borderId="39" xfId="0" applyNumberFormat="1" applyFill="1" applyBorder="1" applyAlignment="1" applyProtection="1">
      <alignment/>
      <protection locked="0"/>
    </xf>
    <xf numFmtId="0" fontId="0" fillId="0" borderId="44" xfId="0" applyNumberFormat="1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0" fontId="0" fillId="36" borderId="48" xfId="0" applyFill="1" applyBorder="1" applyAlignment="1" applyProtection="1">
      <alignment horizontal="center" vertical="center"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43" fontId="0" fillId="8" borderId="49" xfId="46" applyFont="1" applyFill="1" applyBorder="1" applyAlignment="1" applyProtection="1">
      <alignment vertical="center"/>
      <protection locked="0"/>
    </xf>
    <xf numFmtId="6" fontId="0" fillId="8" borderId="50" xfId="0" applyNumberFormat="1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0" fillId="36" borderId="54" xfId="0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 textRotation="90" wrapText="1"/>
      <protection locked="0"/>
    </xf>
    <xf numFmtId="0" fontId="82" fillId="0" borderId="0" xfId="0" applyFont="1" applyBorder="1" applyAlignment="1" applyProtection="1">
      <alignment wrapText="1"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43" fontId="0" fillId="37" borderId="56" xfId="46" applyFont="1" applyFill="1" applyBorder="1" applyAlignment="1" applyProtection="1">
      <alignment horizontal="center" vertical="center"/>
      <protection locked="0"/>
    </xf>
    <xf numFmtId="6" fontId="0" fillId="37" borderId="57" xfId="0" applyNumberForma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 textRotation="90" wrapText="1"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0" fillId="0" borderId="58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0" fillId="0" borderId="60" xfId="0" applyFill="1" applyBorder="1" applyAlignment="1" applyProtection="1">
      <alignment vertical="center"/>
      <protection locked="0"/>
    </xf>
    <xf numFmtId="0" fontId="0" fillId="36" borderId="61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0" fillId="36" borderId="64" xfId="0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8" fillId="37" borderId="13" xfId="0" applyNumberFormat="1" applyFont="1" applyFill="1" applyBorder="1" applyAlignment="1" applyProtection="1">
      <alignment/>
      <protection locked="0"/>
    </xf>
    <xf numFmtId="173" fontId="8" fillId="37" borderId="65" xfId="0" applyNumberFormat="1" applyFont="1" applyFill="1" applyBorder="1" applyAlignment="1" applyProtection="1">
      <alignment/>
      <protection locked="0"/>
    </xf>
    <xf numFmtId="173" fontId="8" fillId="37" borderId="14" xfId="0" applyNumberFormat="1" applyFont="1" applyFill="1" applyBorder="1" applyAlignment="1" applyProtection="1">
      <alignment/>
      <protection locked="0"/>
    </xf>
    <xf numFmtId="173" fontId="8" fillId="37" borderId="66" xfId="0" applyNumberFormat="1" applyFont="1" applyFill="1" applyBorder="1" applyAlignment="1" applyProtection="1">
      <alignment/>
      <protection locked="0"/>
    </xf>
    <xf numFmtId="173" fontId="8" fillId="37" borderId="67" xfId="0" applyNumberFormat="1" applyFont="1" applyFill="1" applyBorder="1" applyAlignment="1" applyProtection="1">
      <alignment/>
      <protection locked="0"/>
    </xf>
    <xf numFmtId="173" fontId="8" fillId="38" borderId="68" xfId="0" applyNumberFormat="1" applyFont="1" applyFill="1" applyBorder="1" applyAlignment="1" applyProtection="1">
      <alignment/>
      <protection locked="0"/>
    </xf>
    <xf numFmtId="173" fontId="8" fillId="38" borderId="66" xfId="0" applyNumberFormat="1" applyFont="1" applyFill="1" applyBorder="1" applyAlignment="1" applyProtection="1">
      <alignment/>
      <protection locked="0"/>
    </xf>
    <xf numFmtId="173" fontId="8" fillId="38" borderId="67" xfId="0" applyNumberFormat="1" applyFont="1" applyFill="1" applyBorder="1" applyAlignment="1" applyProtection="1">
      <alignment/>
      <protection locked="0"/>
    </xf>
    <xf numFmtId="173" fontId="8" fillId="38" borderId="13" xfId="0" applyNumberFormat="1" applyFont="1" applyFill="1" applyBorder="1" applyAlignment="1" applyProtection="1">
      <alignment/>
      <protection locked="0"/>
    </xf>
    <xf numFmtId="173" fontId="8" fillId="38" borderId="65" xfId="0" applyNumberFormat="1" applyFont="1" applyFill="1" applyBorder="1" applyAlignment="1" applyProtection="1">
      <alignment/>
      <protection locked="0"/>
    </xf>
    <xf numFmtId="173" fontId="8" fillId="38" borderId="14" xfId="0" applyNumberFormat="1" applyFont="1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/>
    </xf>
    <xf numFmtId="6" fontId="0" fillId="0" borderId="69" xfId="0" applyNumberFormat="1" applyFill="1" applyBorder="1" applyAlignment="1" applyProtection="1">
      <alignment/>
      <protection/>
    </xf>
    <xf numFmtId="43" fontId="0" fillId="0" borderId="41" xfId="46" applyFont="1" applyFill="1" applyBorder="1" applyAlignment="1" applyProtection="1">
      <alignment/>
      <protection/>
    </xf>
    <xf numFmtId="6" fontId="0" fillId="0" borderId="38" xfId="0" applyNumberFormat="1" applyFill="1" applyBorder="1" applyAlignment="1" applyProtection="1">
      <alignment/>
      <protection/>
    </xf>
    <xf numFmtId="43" fontId="0" fillId="0" borderId="41" xfId="46" applyFont="1" applyFill="1" applyBorder="1" applyAlignment="1" applyProtection="1">
      <alignment horizontal="center" vertical="center"/>
      <protection/>
    </xf>
    <xf numFmtId="6" fontId="0" fillId="0" borderId="38" xfId="0" applyNumberFormat="1" applyFill="1" applyBorder="1" applyAlignment="1" applyProtection="1">
      <alignment horizontal="center" vertical="center"/>
      <protection/>
    </xf>
    <xf numFmtId="43" fontId="0" fillId="0" borderId="47" xfId="46" applyFont="1" applyFill="1" applyBorder="1" applyAlignment="1" applyProtection="1">
      <alignment horizontal="center" vertical="center"/>
      <protection/>
    </xf>
    <xf numFmtId="6" fontId="0" fillId="0" borderId="70" xfId="0" applyNumberFormat="1" applyFill="1" applyBorder="1" applyAlignment="1" applyProtection="1">
      <alignment horizontal="center" vertical="center"/>
      <protection/>
    </xf>
    <xf numFmtId="43" fontId="0" fillId="0" borderId="53" xfId="46" applyFont="1" applyFill="1" applyBorder="1" applyAlignment="1" applyProtection="1">
      <alignment horizontal="center" vertical="center"/>
      <protection/>
    </xf>
    <xf numFmtId="6" fontId="0" fillId="0" borderId="71" xfId="0" applyNumberFormat="1" applyFill="1" applyBorder="1" applyAlignment="1" applyProtection="1">
      <alignment horizontal="center" vertical="center"/>
      <protection/>
    </xf>
    <xf numFmtId="43" fontId="0" fillId="0" borderId="65" xfId="46" applyFont="1" applyFill="1" applyBorder="1" applyAlignment="1" applyProtection="1">
      <alignment horizontal="center" vertical="center"/>
      <protection/>
    </xf>
    <xf numFmtId="43" fontId="0" fillId="0" borderId="53" xfId="46" applyFont="1" applyFill="1" applyBorder="1" applyAlignment="1" applyProtection="1">
      <alignment/>
      <protection/>
    </xf>
    <xf numFmtId="6" fontId="0" fillId="0" borderId="71" xfId="0" applyNumberFormat="1" applyFill="1" applyBorder="1" applyAlignment="1" applyProtection="1">
      <alignment/>
      <protection/>
    </xf>
    <xf numFmtId="43" fontId="0" fillId="0" borderId="49" xfId="46" applyFont="1" applyFill="1" applyBorder="1" applyAlignment="1" applyProtection="1">
      <alignment/>
      <protection/>
    </xf>
    <xf numFmtId="6" fontId="0" fillId="0" borderId="50" xfId="0" applyNumberFormat="1" applyFill="1" applyBorder="1" applyAlignment="1" applyProtection="1">
      <alignment/>
      <protection/>
    </xf>
    <xf numFmtId="43" fontId="0" fillId="0" borderId="60" xfId="46" applyFont="1" applyFill="1" applyBorder="1" applyAlignment="1" applyProtection="1">
      <alignment/>
      <protection/>
    </xf>
    <xf numFmtId="6" fontId="0" fillId="0" borderId="72" xfId="0" applyNumberFormat="1" applyFill="1" applyBorder="1" applyAlignment="1" applyProtection="1">
      <alignment/>
      <protection/>
    </xf>
    <xf numFmtId="43" fontId="0" fillId="0" borderId="63" xfId="46" applyFont="1" applyFill="1" applyBorder="1" applyAlignment="1" applyProtection="1">
      <alignment/>
      <protection/>
    </xf>
    <xf numFmtId="6" fontId="0" fillId="0" borderId="73" xfId="0" applyNumberFormat="1" applyFill="1" applyBorder="1" applyAlignment="1" applyProtection="1">
      <alignment/>
      <protection/>
    </xf>
    <xf numFmtId="43" fontId="0" fillId="0" borderId="47" xfId="46" applyFont="1" applyFill="1" applyBorder="1" applyAlignment="1" applyProtection="1">
      <alignment/>
      <protection/>
    </xf>
    <xf numFmtId="6" fontId="0" fillId="0" borderId="70" xfId="0" applyNumberFormat="1" applyFill="1" applyBorder="1" applyAlignment="1" applyProtection="1">
      <alignment/>
      <protection/>
    </xf>
    <xf numFmtId="44" fontId="0" fillId="0" borderId="74" xfId="48" applyFont="1" applyFill="1" applyBorder="1" applyAlignment="1" applyProtection="1">
      <alignment horizontal="right"/>
      <protection/>
    </xf>
    <xf numFmtId="44" fontId="0" fillId="0" borderId="75" xfId="48" applyFont="1" applyFill="1" applyBorder="1" applyAlignment="1" applyProtection="1">
      <alignment horizontal="right"/>
      <protection/>
    </xf>
    <xf numFmtId="44" fontId="0" fillId="0" borderId="75" xfId="48" applyFont="1" applyFill="1" applyBorder="1" applyAlignment="1" applyProtection="1">
      <alignment horizontal="right" vertical="center"/>
      <protection/>
    </xf>
    <xf numFmtId="44" fontId="0" fillId="0" borderId="76" xfId="48" applyFont="1" applyFill="1" applyBorder="1" applyAlignment="1" applyProtection="1">
      <alignment horizontal="right" vertical="center"/>
      <protection/>
    </xf>
    <xf numFmtId="44" fontId="0" fillId="0" borderId="77" xfId="48" applyFont="1" applyFill="1" applyBorder="1" applyAlignment="1" applyProtection="1">
      <alignment/>
      <protection/>
    </xf>
    <xf numFmtId="44" fontId="0" fillId="0" borderId="75" xfId="48" applyFont="1" applyFill="1" applyBorder="1" applyAlignment="1" applyProtection="1">
      <alignment/>
      <protection/>
    </xf>
    <xf numFmtId="44" fontId="0" fillId="0" borderId="78" xfId="48" applyFont="1" applyFill="1" applyBorder="1" applyAlignment="1" applyProtection="1">
      <alignment horizontal="center" vertical="center"/>
      <protection/>
    </xf>
    <xf numFmtId="44" fontId="0" fillId="0" borderId="76" xfId="48" applyFont="1" applyFill="1" applyBorder="1" applyAlignment="1" applyProtection="1">
      <alignment horizontal="center" vertical="center"/>
      <protection/>
    </xf>
    <xf numFmtId="44" fontId="0" fillId="0" borderId="79" xfId="48" applyFont="1" applyFill="1" applyBorder="1" applyAlignment="1" applyProtection="1">
      <alignment vertical="center"/>
      <protection/>
    </xf>
    <xf numFmtId="44" fontId="0" fillId="0" borderId="80" xfId="48" applyFont="1" applyFill="1" applyBorder="1" applyAlignment="1" applyProtection="1">
      <alignment vertical="center"/>
      <protection/>
    </xf>
    <xf numFmtId="44" fontId="0" fillId="0" borderId="81" xfId="48" applyFont="1" applyFill="1" applyBorder="1" applyAlignment="1" applyProtection="1">
      <alignment vertical="center"/>
      <protection/>
    </xf>
    <xf numFmtId="44" fontId="0" fillId="0" borderId="82" xfId="48" applyFont="1" applyFill="1" applyBorder="1" applyAlignment="1" applyProtection="1">
      <alignment vertical="center"/>
      <protection/>
    </xf>
    <xf numFmtId="44" fontId="0" fillId="0" borderId="83" xfId="48" applyFont="1" applyFill="1" applyBorder="1" applyAlignment="1" applyProtection="1">
      <alignment vertical="center"/>
      <protection/>
    </xf>
    <xf numFmtId="44" fontId="0" fillId="0" borderId="84" xfId="48" applyFont="1" applyFill="1" applyBorder="1" applyAlignment="1" applyProtection="1">
      <alignment vertical="center"/>
      <protection/>
    </xf>
    <xf numFmtId="0" fontId="49" fillId="8" borderId="85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0" borderId="86" xfId="0" applyFont="1" applyBorder="1" applyAlignment="1" applyProtection="1">
      <alignment wrapText="1"/>
      <protection/>
    </xf>
    <xf numFmtId="0" fontId="48" fillId="0" borderId="87" xfId="0" applyFont="1" applyBorder="1" applyAlignment="1" applyProtection="1">
      <alignment/>
      <protection/>
    </xf>
    <xf numFmtId="172" fontId="48" fillId="0" borderId="87" xfId="48" applyNumberFormat="1" applyFont="1" applyBorder="1" applyAlignment="1" applyProtection="1">
      <alignment/>
      <protection/>
    </xf>
    <xf numFmtId="0" fontId="48" fillId="0" borderId="88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4" fontId="48" fillId="0" borderId="0" xfId="48" applyFont="1" applyAlignment="1" applyProtection="1">
      <alignment/>
      <protection/>
    </xf>
    <xf numFmtId="44" fontId="48" fillId="0" borderId="0" xfId="48" applyFont="1" applyFill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/>
      <protection/>
    </xf>
    <xf numFmtId="174" fontId="8" fillId="0" borderId="65" xfId="48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/>
      <protection/>
    </xf>
    <xf numFmtId="174" fontId="8" fillId="0" borderId="14" xfId="48" applyNumberFormat="1" applyFont="1" applyBorder="1" applyAlignment="1" applyProtection="1">
      <alignment horizontal="center" vertical="center"/>
      <protection/>
    </xf>
    <xf numFmtId="174" fontId="8" fillId="0" borderId="71" xfId="48" applyNumberFormat="1" applyFont="1" applyBorder="1" applyAlignment="1" applyProtection="1">
      <alignment horizontal="center" vertical="center"/>
      <protection/>
    </xf>
    <xf numFmtId="172" fontId="7" fillId="39" borderId="68" xfId="48" applyNumberFormat="1" applyFont="1" applyFill="1" applyBorder="1" applyAlignment="1" applyProtection="1">
      <alignment/>
      <protection/>
    </xf>
    <xf numFmtId="172" fontId="7" fillId="40" borderId="90" xfId="48" applyNumberFormat="1" applyFont="1" applyFill="1" applyBorder="1" applyAlignment="1" applyProtection="1">
      <alignment/>
      <protection/>
    </xf>
    <xf numFmtId="174" fontId="8" fillId="0" borderId="38" xfId="48" applyNumberFormat="1" applyFont="1" applyBorder="1" applyAlignment="1" applyProtection="1">
      <alignment horizontal="center" vertical="center"/>
      <protection/>
    </xf>
    <xf numFmtId="172" fontId="7" fillId="39" borderId="66" xfId="48" applyNumberFormat="1" applyFont="1" applyFill="1" applyBorder="1" applyAlignment="1" applyProtection="1">
      <alignment/>
      <protection/>
    </xf>
    <xf numFmtId="172" fontId="7" fillId="40" borderId="91" xfId="48" applyNumberFormat="1" applyFont="1" applyFill="1" applyBorder="1" applyAlignment="1" applyProtection="1">
      <alignment/>
      <protection/>
    </xf>
    <xf numFmtId="0" fontId="8" fillId="0" borderId="50" xfId="0" applyFont="1" applyBorder="1" applyAlignment="1" applyProtection="1">
      <alignment horizontal="center" vertical="center"/>
      <protection/>
    </xf>
    <xf numFmtId="172" fontId="7" fillId="39" borderId="67" xfId="48" applyNumberFormat="1" applyFont="1" applyFill="1" applyBorder="1" applyAlignment="1" applyProtection="1">
      <alignment/>
      <protection/>
    </xf>
    <xf numFmtId="172" fontId="7" fillId="40" borderId="92" xfId="48" applyNumberFormat="1" applyFont="1" applyFill="1" applyBorder="1" applyAlignment="1" applyProtection="1">
      <alignment/>
      <protection/>
    </xf>
    <xf numFmtId="0" fontId="8" fillId="0" borderId="71" xfId="0" applyFont="1" applyBorder="1" applyAlignment="1" applyProtection="1">
      <alignment/>
      <protection/>
    </xf>
    <xf numFmtId="174" fontId="8" fillId="0" borderId="38" xfId="48" applyNumberFormat="1" applyFont="1" applyBorder="1" applyAlignment="1" applyProtection="1">
      <alignment/>
      <protection/>
    </xf>
    <xf numFmtId="174" fontId="8" fillId="0" borderId="50" xfId="48" applyNumberFormat="1" applyFont="1" applyBorder="1" applyAlignment="1" applyProtection="1">
      <alignment/>
      <protection/>
    </xf>
    <xf numFmtId="172" fontId="7" fillId="40" borderId="90" xfId="48" applyNumberFormat="1" applyFont="1" applyFill="1" applyBorder="1" applyAlignment="1" applyProtection="1">
      <alignment/>
      <protection/>
    </xf>
    <xf numFmtId="174" fontId="8" fillId="0" borderId="40" xfId="48" applyNumberFormat="1" applyFont="1" applyBorder="1" applyAlignment="1" applyProtection="1">
      <alignment/>
      <protection/>
    </xf>
    <xf numFmtId="172" fontId="7" fillId="40" borderId="91" xfId="48" applyNumberFormat="1" applyFont="1" applyFill="1" applyBorder="1" applyAlignment="1" applyProtection="1">
      <alignment/>
      <protection/>
    </xf>
    <xf numFmtId="171" fontId="48" fillId="0" borderId="0" xfId="0" applyNumberFormat="1" applyFont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172" fontId="7" fillId="40" borderId="92" xfId="48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4" fontId="8" fillId="0" borderId="0" xfId="48" applyNumberFormat="1" applyFont="1" applyFill="1" applyBorder="1" applyAlignment="1" applyProtection="1">
      <alignment/>
      <protection/>
    </xf>
    <xf numFmtId="173" fontId="8" fillId="0" borderId="0" xfId="0" applyNumberFormat="1" applyFont="1" applyFill="1" applyBorder="1" applyAlignment="1" applyProtection="1">
      <alignment/>
      <protection/>
    </xf>
    <xf numFmtId="172" fontId="7" fillId="0" borderId="0" xfId="48" applyNumberFormat="1" applyFont="1" applyFill="1" applyBorder="1" applyAlignment="1" applyProtection="1">
      <alignment/>
      <protection/>
    </xf>
    <xf numFmtId="0" fontId="7" fillId="0" borderId="71" xfId="0" applyFont="1" applyBorder="1" applyAlignment="1" applyProtection="1">
      <alignment horizontal="center"/>
      <protection/>
    </xf>
    <xf numFmtId="172" fontId="7" fillId="39" borderId="93" xfId="48" applyNumberFormat="1" applyFont="1" applyFill="1" applyBorder="1" applyAlignment="1" applyProtection="1">
      <alignment/>
      <protection/>
    </xf>
    <xf numFmtId="172" fontId="7" fillId="40" borderId="94" xfId="48" applyNumberFormat="1" applyFont="1" applyFill="1" applyBorder="1" applyAlignment="1" applyProtection="1">
      <alignment/>
      <protection/>
    </xf>
    <xf numFmtId="172" fontId="7" fillId="39" borderId="95" xfId="48" applyNumberFormat="1" applyFont="1" applyFill="1" applyBorder="1" applyAlignment="1" applyProtection="1">
      <alignment/>
      <protection/>
    </xf>
    <xf numFmtId="172" fontId="7" fillId="40" borderId="96" xfId="48" applyNumberFormat="1" applyFont="1" applyFill="1" applyBorder="1" applyAlignment="1" applyProtection="1">
      <alignment/>
      <protection/>
    </xf>
    <xf numFmtId="172" fontId="7" fillId="39" borderId="97" xfId="48" applyNumberFormat="1" applyFont="1" applyFill="1" applyBorder="1" applyAlignment="1" applyProtection="1">
      <alignment/>
      <protection/>
    </xf>
    <xf numFmtId="172" fontId="7" fillId="40" borderId="17" xfId="48" applyNumberFormat="1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174" fontId="8" fillId="0" borderId="0" xfId="48" applyNumberFormat="1" applyFont="1" applyBorder="1" applyAlignment="1" applyProtection="1">
      <alignment/>
      <protection/>
    </xf>
    <xf numFmtId="44" fontId="8" fillId="0" borderId="0" xfId="48" applyFont="1" applyFill="1" applyAlignment="1" applyProtection="1">
      <alignment/>
      <protection/>
    </xf>
    <xf numFmtId="44" fontId="8" fillId="0" borderId="0" xfId="48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74" fontId="8" fillId="0" borderId="65" xfId="48" applyNumberFormat="1" applyFont="1" applyBorder="1" applyAlignment="1" applyProtection="1">
      <alignment/>
      <protection/>
    </xf>
    <xf numFmtId="174" fontId="8" fillId="0" borderId="14" xfId="48" applyNumberFormat="1" applyFont="1" applyBorder="1" applyAlignment="1" applyProtection="1">
      <alignment/>
      <protection/>
    </xf>
    <xf numFmtId="174" fontId="8" fillId="0" borderId="71" xfId="48" applyNumberFormat="1" applyFont="1" applyBorder="1" applyAlignment="1" applyProtection="1">
      <alignment/>
      <protection/>
    </xf>
    <xf numFmtId="172" fontId="7" fillId="39" borderId="54" xfId="48" applyNumberFormat="1" applyFont="1" applyFill="1" applyBorder="1" applyAlignment="1" applyProtection="1">
      <alignment/>
      <protection/>
    </xf>
    <xf numFmtId="172" fontId="7" fillId="39" borderId="42" xfId="48" applyNumberFormat="1" applyFont="1" applyFill="1" applyBorder="1" applyAlignment="1" applyProtection="1">
      <alignment/>
      <protection/>
    </xf>
    <xf numFmtId="0" fontId="8" fillId="0" borderId="50" xfId="0" applyFont="1" applyBorder="1" applyAlignment="1" applyProtection="1">
      <alignment/>
      <protection/>
    </xf>
    <xf numFmtId="172" fontId="7" fillId="39" borderId="20" xfId="48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177" fontId="8" fillId="0" borderId="0" xfId="48" applyNumberFormat="1" applyFont="1" applyFill="1" applyBorder="1" applyAlignment="1" applyProtection="1">
      <alignment/>
      <protection/>
    </xf>
    <xf numFmtId="0" fontId="51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72" fontId="7" fillId="0" borderId="98" xfId="48" applyNumberFormat="1" applyFont="1" applyFill="1" applyBorder="1" applyAlignment="1" applyProtection="1">
      <alignment vertical="center"/>
      <protection/>
    </xf>
    <xf numFmtId="177" fontId="49" fillId="0" borderId="0" xfId="0" applyNumberFormat="1" applyFont="1" applyAlignment="1" applyProtection="1">
      <alignment/>
      <protection/>
    </xf>
    <xf numFmtId="171" fontId="49" fillId="0" borderId="0" xfId="0" applyNumberFormat="1" applyFont="1" applyAlignment="1" applyProtection="1">
      <alignment/>
      <protection/>
    </xf>
    <xf numFmtId="0" fontId="2" fillId="35" borderId="25" xfId="0" applyFont="1" applyFill="1" applyBorder="1" applyAlignment="1" applyProtection="1">
      <alignment horizontal="left" vertical="center"/>
      <protection locked="0"/>
    </xf>
    <xf numFmtId="0" fontId="84" fillId="0" borderId="0" xfId="0" applyFont="1" applyAlignment="1" applyProtection="1">
      <alignment horizontal="center" vertical="center"/>
      <protection/>
    </xf>
    <xf numFmtId="0" fontId="87" fillId="0" borderId="0" xfId="0" applyFont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left" vertical="center"/>
      <protection/>
    </xf>
    <xf numFmtId="44" fontId="86" fillId="11" borderId="15" xfId="0" applyNumberFormat="1" applyFont="1" applyFill="1" applyBorder="1" applyAlignment="1" applyProtection="1">
      <alignment horizontal="center" vertical="center"/>
      <protection/>
    </xf>
    <xf numFmtId="0" fontId="92" fillId="34" borderId="99" xfId="0" applyFont="1" applyFill="1" applyBorder="1" applyAlignment="1" applyProtection="1">
      <alignment horizontal="center" vertical="top" wrapText="1"/>
      <protection/>
    </xf>
    <xf numFmtId="0" fontId="84" fillId="33" borderId="13" xfId="0" applyFont="1" applyFill="1" applyBorder="1" applyAlignment="1" applyProtection="1">
      <alignment horizontal="center" vertical="center"/>
      <protection/>
    </xf>
    <xf numFmtId="9" fontId="84" fillId="33" borderId="13" xfId="0" applyNumberFormat="1" applyFont="1" applyFill="1" applyBorder="1" applyAlignment="1" applyProtection="1">
      <alignment horizontal="center" vertical="center"/>
      <protection/>
    </xf>
    <xf numFmtId="44" fontId="88" fillId="33" borderId="11" xfId="0" applyNumberFormat="1" applyFont="1" applyFill="1" applyBorder="1" applyAlignment="1" applyProtection="1">
      <alignment horizontal="center" vertical="center"/>
      <protection/>
    </xf>
    <xf numFmtId="44" fontId="90" fillId="34" borderId="14" xfId="0" applyNumberFormat="1" applyFont="1" applyFill="1" applyBorder="1" applyAlignment="1" applyProtection="1">
      <alignment horizontal="center" vertical="center"/>
      <protection/>
    </xf>
    <xf numFmtId="0" fontId="84" fillId="7" borderId="14" xfId="0" applyFont="1" applyFill="1" applyBorder="1" applyAlignment="1" applyProtection="1">
      <alignment horizontal="center" vertical="center"/>
      <protection/>
    </xf>
    <xf numFmtId="9" fontId="84" fillId="7" borderId="14" xfId="0" applyNumberFormat="1" applyFont="1" applyFill="1" applyBorder="1" applyAlignment="1" applyProtection="1">
      <alignment horizontal="center" vertical="center"/>
      <protection/>
    </xf>
    <xf numFmtId="44" fontId="89" fillId="7" borderId="50" xfId="0" applyNumberFormat="1" applyFont="1" applyFill="1" applyBorder="1" applyAlignment="1" applyProtection="1">
      <alignment horizontal="center" vertical="center"/>
      <protection/>
    </xf>
    <xf numFmtId="0" fontId="84" fillId="33" borderId="22" xfId="0" applyFont="1" applyFill="1" applyBorder="1" applyAlignment="1" applyProtection="1">
      <alignment horizontal="center" vertical="center"/>
      <protection/>
    </xf>
    <xf numFmtId="9" fontId="84" fillId="33" borderId="22" xfId="0" applyNumberFormat="1" applyFont="1" applyFill="1" applyBorder="1" applyAlignment="1" applyProtection="1">
      <alignment horizontal="center" vertical="center"/>
      <protection/>
    </xf>
    <xf numFmtId="44" fontId="88" fillId="33" borderId="72" xfId="0" applyNumberFormat="1" applyFont="1" applyFill="1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/>
    </xf>
    <xf numFmtId="44" fontId="89" fillId="7" borderId="15" xfId="0" applyNumberFormat="1" applyFont="1" applyFill="1" applyBorder="1" applyAlignment="1" applyProtection="1">
      <alignment horizontal="center" vertical="center"/>
      <protection/>
    </xf>
    <xf numFmtId="44" fontId="88" fillId="33" borderId="71" xfId="0" applyNumberFormat="1" applyFont="1" applyFill="1" applyBorder="1" applyAlignment="1" applyProtection="1">
      <alignment horizontal="center" vertical="center"/>
      <protection/>
    </xf>
    <xf numFmtId="43" fontId="0" fillId="37" borderId="101" xfId="46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left" vertical="center"/>
      <protection locked="0"/>
    </xf>
    <xf numFmtId="0" fontId="93" fillId="35" borderId="25" xfId="0" applyFont="1" applyFill="1" applyBorder="1" applyAlignment="1" applyProtection="1">
      <alignment vertical="center" wrapText="1"/>
      <protection/>
    </xf>
    <xf numFmtId="0" fontId="93" fillId="35" borderId="26" xfId="0" applyFont="1" applyFill="1" applyBorder="1" applyAlignment="1" applyProtection="1">
      <alignment vertical="center" wrapText="1"/>
      <protection/>
    </xf>
    <xf numFmtId="0" fontId="93" fillId="35" borderId="0" xfId="0" applyFont="1" applyFill="1" applyBorder="1" applyAlignment="1" applyProtection="1">
      <alignment vertical="center" wrapText="1"/>
      <protection/>
    </xf>
    <xf numFmtId="0" fontId="93" fillId="35" borderId="102" xfId="0" applyFont="1" applyFill="1" applyBorder="1" applyAlignment="1" applyProtection="1">
      <alignment vertical="center" wrapText="1"/>
      <protection/>
    </xf>
    <xf numFmtId="0" fontId="93" fillId="35" borderId="28" xfId="0" applyFont="1" applyFill="1" applyBorder="1" applyAlignment="1" applyProtection="1">
      <alignment vertical="center" wrapText="1"/>
      <protection/>
    </xf>
    <xf numFmtId="0" fontId="93" fillId="35" borderId="29" xfId="0" applyFont="1" applyFill="1" applyBorder="1" applyAlignment="1" applyProtection="1">
      <alignment vertical="center" wrapText="1"/>
      <protection/>
    </xf>
    <xf numFmtId="0" fontId="54" fillId="0" borderId="33" xfId="0" applyFont="1" applyFill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>
      <alignment/>
      <protection/>
    </xf>
    <xf numFmtId="0" fontId="8" fillId="0" borderId="72" xfId="0" applyFont="1" applyBorder="1" applyAlignment="1" applyProtection="1">
      <alignment/>
      <protection/>
    </xf>
    <xf numFmtId="173" fontId="8" fillId="38" borderId="104" xfId="0" applyNumberFormat="1" applyFont="1" applyFill="1" applyBorder="1" applyAlignment="1" applyProtection="1">
      <alignment/>
      <protection locked="0"/>
    </xf>
    <xf numFmtId="174" fontId="8" fillId="0" borderId="59" xfId="48" applyNumberFormat="1" applyFont="1" applyBorder="1" applyAlignment="1" applyProtection="1">
      <alignment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4" fontId="94" fillId="33" borderId="19" xfId="0" applyNumberFormat="1" applyFont="1" applyFill="1" applyBorder="1" applyAlignment="1" applyProtection="1">
      <alignment horizontal="center" vertical="center"/>
      <protection/>
    </xf>
    <xf numFmtId="43" fontId="0" fillId="0" borderId="101" xfId="46" applyFont="1" applyFill="1" applyBorder="1" applyAlignment="1" applyProtection="1">
      <alignment/>
      <protection/>
    </xf>
    <xf numFmtId="6" fontId="0" fillId="0" borderId="57" xfId="0" applyNumberFormat="1" applyFill="1" applyBorder="1" applyAlignment="1" applyProtection="1">
      <alignment/>
      <protection/>
    </xf>
    <xf numFmtId="43" fontId="0" fillId="0" borderId="65" xfId="46" applyFont="1" applyFill="1" applyBorder="1" applyAlignment="1" applyProtection="1">
      <alignment/>
      <protection/>
    </xf>
    <xf numFmtId="6" fontId="0" fillId="0" borderId="105" xfId="0" applyNumberFormat="1" applyFill="1" applyBorder="1" applyAlignment="1" applyProtection="1">
      <alignment/>
      <protection/>
    </xf>
    <xf numFmtId="44" fontId="0" fillId="0" borderId="75" xfId="48" applyFont="1" applyFill="1" applyBorder="1" applyAlignment="1" applyProtection="1">
      <alignment vertical="center"/>
      <protection/>
    </xf>
    <xf numFmtId="174" fontId="8" fillId="0" borderId="79" xfId="48" applyNumberFormat="1" applyFont="1" applyBorder="1" applyAlignment="1" applyProtection="1">
      <alignment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/>
      <protection/>
    </xf>
    <xf numFmtId="0" fontId="93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/>
      <protection locked="0"/>
    </xf>
    <xf numFmtId="177" fontId="49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2" fontId="0" fillId="0" borderId="65" xfId="0" applyNumberFormat="1" applyBorder="1" applyAlignment="1">
      <alignment/>
    </xf>
    <xf numFmtId="172" fontId="0" fillId="0" borderId="65" xfId="0" applyNumberFormat="1" applyBorder="1" applyAlignment="1" applyProtection="1">
      <alignment/>
      <protection locked="0"/>
    </xf>
    <xf numFmtId="171" fontId="49" fillId="0" borderId="0" xfId="0" applyNumberFormat="1" applyFont="1" applyBorder="1" applyAlignment="1" applyProtection="1">
      <alignment/>
      <protection locked="0"/>
    </xf>
    <xf numFmtId="0" fontId="95" fillId="0" borderId="40" xfId="0" applyFont="1" applyBorder="1" applyAlignment="1" applyProtection="1">
      <alignment horizontal="center" vertical="center"/>
      <protection locked="0"/>
    </xf>
    <xf numFmtId="172" fontId="95" fillId="0" borderId="65" xfId="0" applyNumberFormat="1" applyFont="1" applyBorder="1" applyAlignment="1" applyProtection="1">
      <alignment horizontal="center"/>
      <protection locked="0"/>
    </xf>
    <xf numFmtId="0" fontId="57" fillId="0" borderId="65" xfId="0" applyFont="1" applyBorder="1" applyAlignment="1" applyProtection="1">
      <alignment horizontal="center" vertical="center"/>
      <protection locked="0"/>
    </xf>
    <xf numFmtId="0" fontId="96" fillId="0" borderId="65" xfId="0" applyFont="1" applyBorder="1" applyAlignment="1">
      <alignment horizontal="center" vertical="center" wrapText="1"/>
    </xf>
    <xf numFmtId="0" fontId="96" fillId="0" borderId="65" xfId="0" applyFont="1" applyBorder="1" applyAlignment="1">
      <alignment horizontal="center" vertical="center"/>
    </xf>
    <xf numFmtId="0" fontId="97" fillId="0" borderId="38" xfId="0" applyFont="1" applyBorder="1" applyAlignment="1" applyProtection="1">
      <alignment horizontal="center" vertical="center"/>
      <protection locked="0"/>
    </xf>
    <xf numFmtId="0" fontId="7" fillId="41" borderId="97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106" xfId="0" applyFont="1" applyFill="1" applyBorder="1" applyAlignment="1" applyProtection="1">
      <alignment horizontal="center" vertical="center"/>
      <protection/>
    </xf>
    <xf numFmtId="0" fontId="7" fillId="42" borderId="97" xfId="0" applyFont="1" applyFill="1" applyBorder="1" applyAlignment="1" applyProtection="1">
      <alignment horizontal="center" vertical="center"/>
      <protection/>
    </xf>
    <xf numFmtId="0" fontId="7" fillId="42" borderId="106" xfId="0" applyFont="1" applyFill="1" applyBorder="1" applyAlignment="1" applyProtection="1">
      <alignment horizontal="center" vertical="center"/>
      <protection/>
    </xf>
    <xf numFmtId="0" fontId="7" fillId="43" borderId="97" xfId="0" applyFont="1" applyFill="1" applyBorder="1" applyAlignment="1" applyProtection="1">
      <alignment horizontal="center" vertical="center"/>
      <protection/>
    </xf>
    <xf numFmtId="0" fontId="7" fillId="43" borderId="106" xfId="0" applyFont="1" applyFill="1" applyBorder="1" applyAlignment="1" applyProtection="1">
      <alignment horizontal="center" vertical="center"/>
      <protection/>
    </xf>
    <xf numFmtId="0" fontId="50" fillId="41" borderId="65" xfId="0" applyFont="1" applyFill="1" applyBorder="1" applyAlignment="1" applyProtection="1">
      <alignment vertical="center"/>
      <protection locked="0"/>
    </xf>
    <xf numFmtId="0" fontId="0" fillId="41" borderId="65" xfId="0" applyFill="1" applyBorder="1" applyAlignment="1">
      <alignment/>
    </xf>
    <xf numFmtId="0" fontId="50" fillId="44" borderId="65" xfId="0" applyFont="1" applyFill="1" applyBorder="1" applyAlignment="1" applyProtection="1">
      <alignment/>
      <protection locked="0"/>
    </xf>
    <xf numFmtId="0" fontId="0" fillId="44" borderId="65" xfId="0" applyFill="1" applyBorder="1" applyAlignment="1">
      <alignment/>
    </xf>
    <xf numFmtId="0" fontId="98" fillId="43" borderId="65" xfId="0" applyFont="1" applyFill="1" applyBorder="1" applyAlignment="1" applyProtection="1">
      <alignment/>
      <protection locked="0"/>
    </xf>
    <xf numFmtId="0" fontId="0" fillId="43" borderId="65" xfId="0" applyFill="1" applyBorder="1" applyAlignment="1" applyProtection="1">
      <alignment/>
      <protection locked="0"/>
    </xf>
    <xf numFmtId="172" fontId="8" fillId="35" borderId="98" xfId="48" applyNumberFormat="1" applyFont="1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center"/>
      <protection/>
    </xf>
    <xf numFmtId="172" fontId="7" fillId="35" borderId="98" xfId="48" applyNumberFormat="1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 wrapText="1"/>
      <protection/>
    </xf>
    <xf numFmtId="0" fontId="0" fillId="0" borderId="59" xfId="0" applyFill="1" applyBorder="1" applyAlignment="1" applyProtection="1">
      <alignment horizontal="center" wrapText="1"/>
      <protection/>
    </xf>
    <xf numFmtId="172" fontId="7" fillId="0" borderId="0" xfId="48" applyNumberFormat="1" applyFont="1" applyFill="1" applyBorder="1" applyAlignment="1" applyProtection="1">
      <alignment vertical="center"/>
      <protection/>
    </xf>
    <xf numFmtId="0" fontId="8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7" fillId="45" borderId="97" xfId="0" applyFont="1" applyFill="1" applyBorder="1" applyAlignment="1" applyProtection="1">
      <alignment horizontal="center" vertical="center"/>
      <protection/>
    </xf>
    <xf numFmtId="0" fontId="7" fillId="45" borderId="106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 locked="0"/>
    </xf>
    <xf numFmtId="0" fontId="99" fillId="0" borderId="0" xfId="0" applyFont="1" applyBorder="1" applyAlignment="1">
      <alignment/>
    </xf>
    <xf numFmtId="0" fontId="61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/>
    </xf>
    <xf numFmtId="177" fontId="7" fillId="46" borderId="65" xfId="48" applyNumberFormat="1" applyFont="1" applyFill="1" applyBorder="1" applyAlignment="1" applyProtection="1">
      <alignment vertical="center"/>
      <protection locked="0"/>
    </xf>
    <xf numFmtId="177" fontId="58" fillId="42" borderId="65" xfId="48" applyNumberFormat="1" applyFont="1" applyFill="1" applyBorder="1" applyAlignment="1" applyProtection="1">
      <alignment vertical="center"/>
      <protection locked="0"/>
    </xf>
    <xf numFmtId="0" fontId="93" fillId="0" borderId="32" xfId="0" applyFont="1" applyFill="1" applyBorder="1" applyAlignment="1" applyProtection="1">
      <alignment vertical="center" wrapText="1"/>
      <protection/>
    </xf>
    <xf numFmtId="0" fontId="7" fillId="47" borderId="107" xfId="0" applyFont="1" applyFill="1" applyBorder="1" applyAlignment="1" applyProtection="1">
      <alignment horizontal="center" vertical="center"/>
      <protection/>
    </xf>
    <xf numFmtId="0" fontId="7" fillId="47" borderId="108" xfId="0" applyFont="1" applyFill="1" applyBorder="1" applyAlignment="1" applyProtection="1">
      <alignment horizontal="center" vertical="center"/>
      <protection/>
    </xf>
    <xf numFmtId="0" fontId="98" fillId="48" borderId="65" xfId="0" applyFont="1" applyFill="1" applyBorder="1" applyAlignment="1" applyProtection="1">
      <alignment/>
      <protection locked="0"/>
    </xf>
    <xf numFmtId="0" fontId="0" fillId="48" borderId="65" xfId="0" applyFill="1" applyBorder="1" applyAlignment="1" applyProtection="1">
      <alignment/>
      <protection locked="0"/>
    </xf>
    <xf numFmtId="0" fontId="54" fillId="47" borderId="109" xfId="0" applyFont="1" applyFill="1" applyBorder="1" applyAlignment="1" applyProtection="1">
      <alignment horizontal="center" vertical="center"/>
      <protection/>
    </xf>
    <xf numFmtId="0" fontId="54" fillId="45" borderId="97" xfId="0" applyFont="1" applyFill="1" applyBorder="1" applyAlignment="1" applyProtection="1">
      <alignment horizontal="center" vertical="center"/>
      <protection/>
    </xf>
    <xf numFmtId="0" fontId="54" fillId="41" borderId="97" xfId="0" applyFont="1" applyFill="1" applyBorder="1" applyAlignment="1" applyProtection="1">
      <alignment horizontal="center" vertical="center"/>
      <protection/>
    </xf>
    <xf numFmtId="0" fontId="54" fillId="42" borderId="97" xfId="0" applyFont="1" applyFill="1" applyBorder="1" applyAlignment="1" applyProtection="1">
      <alignment horizontal="center" vertical="center"/>
      <protection/>
    </xf>
    <xf numFmtId="0" fontId="62" fillId="43" borderId="97" xfId="0" applyFont="1" applyFill="1" applyBorder="1" applyAlignment="1" applyProtection="1">
      <alignment horizontal="center" vertical="center"/>
      <protection/>
    </xf>
    <xf numFmtId="174" fontId="8" fillId="0" borderId="52" xfId="48" applyNumberFormat="1" applyFont="1" applyBorder="1" applyAlignment="1" applyProtection="1">
      <alignment/>
      <protection/>
    </xf>
    <xf numFmtId="0" fontId="96" fillId="0" borderId="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172" fontId="95" fillId="0" borderId="0" xfId="0" applyNumberFormat="1" applyFont="1" applyBorder="1" applyAlignment="1" applyProtection="1">
      <alignment horizontal="center"/>
      <protection locked="0"/>
    </xf>
    <xf numFmtId="0" fontId="54" fillId="41" borderId="110" xfId="0" applyFont="1" applyFill="1" applyBorder="1" applyAlignment="1" applyProtection="1">
      <alignment horizontal="center" vertical="center"/>
      <protection/>
    </xf>
    <xf numFmtId="174" fontId="8" fillId="0" borderId="77" xfId="48" applyNumberFormat="1" applyFont="1" applyBorder="1" applyAlignment="1" applyProtection="1">
      <alignment/>
      <protection/>
    </xf>
    <xf numFmtId="9" fontId="8" fillId="0" borderId="75" xfId="52" applyFont="1" applyBorder="1" applyAlignment="1" applyProtection="1">
      <alignment horizontal="center"/>
      <protection/>
    </xf>
    <xf numFmtId="9" fontId="8" fillId="0" borderId="76" xfId="52" applyFont="1" applyBorder="1" applyAlignment="1" applyProtection="1">
      <alignment horizontal="center"/>
      <protection/>
    </xf>
    <xf numFmtId="182" fontId="8" fillId="0" borderId="75" xfId="52" applyNumberFormat="1" applyFont="1" applyBorder="1" applyAlignment="1" applyProtection="1">
      <alignment horizontal="center"/>
      <protection/>
    </xf>
    <xf numFmtId="177" fontId="7" fillId="0" borderId="0" xfId="48" applyNumberFormat="1" applyFont="1" applyFill="1" applyBorder="1" applyAlignment="1" applyProtection="1">
      <alignment vertical="center"/>
      <protection locked="0"/>
    </xf>
    <xf numFmtId="177" fontId="58" fillId="0" borderId="0" xfId="48" applyNumberFormat="1" applyFont="1" applyFill="1" applyBorder="1" applyAlignment="1" applyProtection="1">
      <alignment vertical="center"/>
      <protection locked="0"/>
    </xf>
    <xf numFmtId="9" fontId="8" fillId="0" borderId="77" xfId="52" applyFont="1" applyBorder="1" applyAlignment="1" applyProtection="1">
      <alignment horizontal="center"/>
      <protection/>
    </xf>
    <xf numFmtId="9" fontId="8" fillId="0" borderId="33" xfId="52" applyFont="1" applyBorder="1" applyAlignment="1" applyProtection="1">
      <alignment horizontal="center"/>
      <protection/>
    </xf>
    <xf numFmtId="10" fontId="8" fillId="0" borderId="75" xfId="52" applyNumberFormat="1" applyFont="1" applyBorder="1" applyAlignment="1" applyProtection="1">
      <alignment horizontal="center"/>
      <protection/>
    </xf>
    <xf numFmtId="10" fontId="8" fillId="0" borderId="20" xfId="52" applyNumberFormat="1" applyFont="1" applyBorder="1" applyAlignment="1" applyProtection="1">
      <alignment horizontal="center"/>
      <protection/>
    </xf>
    <xf numFmtId="177" fontId="7" fillId="49" borderId="65" xfId="48" applyNumberFormat="1" applyFont="1" applyFill="1" applyBorder="1" applyAlignment="1" applyProtection="1">
      <alignment vertical="center"/>
      <protection locked="0"/>
    </xf>
    <xf numFmtId="0" fontId="100" fillId="39" borderId="24" xfId="0" applyFont="1" applyFill="1" applyBorder="1" applyAlignment="1" applyProtection="1">
      <alignment horizontal="center" vertical="center" wrapText="1"/>
      <protection locked="0"/>
    </xf>
    <xf numFmtId="0" fontId="100" fillId="39" borderId="25" xfId="0" applyFont="1" applyFill="1" applyBorder="1" applyAlignment="1" applyProtection="1">
      <alignment horizontal="center" vertical="center" wrapText="1"/>
      <protection locked="0"/>
    </xf>
    <xf numFmtId="0" fontId="100" fillId="39" borderId="26" xfId="0" applyFont="1" applyFill="1" applyBorder="1" applyAlignment="1" applyProtection="1">
      <alignment horizontal="center" vertical="center" wrapText="1"/>
      <protection locked="0"/>
    </xf>
    <xf numFmtId="0" fontId="100" fillId="39" borderId="32" xfId="0" applyFont="1" applyFill="1" applyBorder="1" applyAlignment="1" applyProtection="1">
      <alignment horizontal="center" vertical="center" wrapText="1"/>
      <protection locked="0"/>
    </xf>
    <xf numFmtId="0" fontId="100" fillId="39" borderId="0" xfId="0" applyFont="1" applyFill="1" applyBorder="1" applyAlignment="1" applyProtection="1">
      <alignment horizontal="center" vertical="center" wrapText="1"/>
      <protection locked="0"/>
    </xf>
    <xf numFmtId="0" fontId="100" fillId="39" borderId="102" xfId="0" applyFont="1" applyFill="1" applyBorder="1" applyAlignment="1" applyProtection="1">
      <alignment horizontal="center" vertical="center" wrapText="1"/>
      <protection locked="0"/>
    </xf>
    <xf numFmtId="0" fontId="100" fillId="39" borderId="27" xfId="0" applyFont="1" applyFill="1" applyBorder="1" applyAlignment="1" applyProtection="1">
      <alignment horizontal="center" vertical="center" wrapText="1"/>
      <protection locked="0"/>
    </xf>
    <xf numFmtId="0" fontId="100" fillId="39" borderId="28" xfId="0" applyFont="1" applyFill="1" applyBorder="1" applyAlignment="1" applyProtection="1">
      <alignment horizontal="center" vertical="center" wrapText="1"/>
      <protection locked="0"/>
    </xf>
    <xf numFmtId="0" fontId="100" fillId="39" borderId="29" xfId="0" applyFont="1" applyFill="1" applyBorder="1" applyAlignment="1" applyProtection="1">
      <alignment horizontal="center" vertical="center" wrapText="1"/>
      <protection locked="0"/>
    </xf>
    <xf numFmtId="0" fontId="100" fillId="50" borderId="100" xfId="0" applyFont="1" applyFill="1" applyBorder="1" applyAlignment="1" applyProtection="1">
      <alignment horizontal="center" vertical="center" wrapText="1"/>
      <protection locked="0"/>
    </xf>
    <xf numFmtId="0" fontId="100" fillId="50" borderId="0" xfId="0" applyFont="1" applyFill="1" applyBorder="1" applyAlignment="1" applyProtection="1">
      <alignment horizontal="center" vertical="center" wrapText="1"/>
      <protection locked="0"/>
    </xf>
    <xf numFmtId="0" fontId="100" fillId="50" borderId="111" xfId="0" applyFont="1" applyFill="1" applyBorder="1" applyAlignment="1" applyProtection="1">
      <alignment horizontal="center" vertical="center" wrapText="1"/>
      <protection locked="0"/>
    </xf>
    <xf numFmtId="0" fontId="100" fillId="50" borderId="59" xfId="0" applyFont="1" applyFill="1" applyBorder="1" applyAlignment="1" applyProtection="1">
      <alignment horizontal="center" vertical="center" wrapText="1"/>
      <protection locked="0"/>
    </xf>
    <xf numFmtId="0" fontId="82" fillId="51" borderId="112" xfId="0" applyFont="1" applyFill="1" applyBorder="1" applyAlignment="1" applyProtection="1">
      <alignment horizontal="center" vertical="center" textRotation="90" wrapText="1"/>
      <protection locked="0"/>
    </xf>
    <xf numFmtId="0" fontId="82" fillId="51" borderId="32" xfId="0" applyFont="1" applyFill="1" applyBorder="1" applyAlignment="1" applyProtection="1">
      <alignment horizontal="center" vertical="center" textRotation="90" wrapText="1"/>
      <protection locked="0"/>
    </xf>
    <xf numFmtId="0" fontId="82" fillId="51" borderId="113" xfId="0" applyFont="1" applyFill="1" applyBorder="1" applyAlignment="1" applyProtection="1">
      <alignment horizontal="center" vertical="center" textRotation="90" wrapText="1"/>
      <protection locked="0"/>
    </xf>
    <xf numFmtId="0" fontId="0" fillId="32" borderId="24" xfId="0" applyFill="1" applyBorder="1" applyAlignment="1" applyProtection="1">
      <alignment horizontal="center" vertical="center" wrapText="1"/>
      <protection locked="0"/>
    </xf>
    <xf numFmtId="0" fontId="0" fillId="32" borderId="25" xfId="0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 horizontal="center" vertical="center" wrapText="1"/>
      <protection locked="0"/>
    </xf>
    <xf numFmtId="0" fontId="0" fillId="32" borderId="32" xfId="0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horizontal="center" vertical="center" wrapText="1"/>
      <protection locked="0"/>
    </xf>
    <xf numFmtId="0" fontId="0" fillId="32" borderId="102" xfId="0" applyFill="1" applyBorder="1" applyAlignment="1" applyProtection="1">
      <alignment horizontal="center" vertical="center" wrapText="1"/>
      <protection locked="0"/>
    </xf>
    <xf numFmtId="0" fontId="0" fillId="32" borderId="27" xfId="0" applyFill="1" applyBorder="1" applyAlignment="1" applyProtection="1">
      <alignment horizontal="center" vertical="center" wrapText="1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29" xfId="0" applyFill="1" applyBorder="1" applyAlignment="1" applyProtection="1">
      <alignment horizontal="center" vertical="center" wrapText="1"/>
      <protection locked="0"/>
    </xf>
    <xf numFmtId="0" fontId="0" fillId="0" borderId="114" xfId="0" applyFont="1" applyFill="1" applyBorder="1" applyAlignment="1" applyProtection="1">
      <alignment horizontal="left" vertical="center"/>
      <protection locked="0"/>
    </xf>
    <xf numFmtId="0" fontId="0" fillId="0" borderId="115" xfId="0" applyFont="1" applyFill="1" applyBorder="1" applyAlignment="1" applyProtection="1">
      <alignment horizontal="left" vertical="center"/>
      <protection locked="0"/>
    </xf>
    <xf numFmtId="0" fontId="0" fillId="0" borderId="116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62" xfId="0" applyFont="1" applyFill="1" applyBorder="1" applyAlignment="1" applyProtection="1">
      <alignment horizontal="left" vertical="center"/>
      <protection locked="0"/>
    </xf>
    <xf numFmtId="0" fontId="0" fillId="0" borderId="63" xfId="0" applyFont="1" applyFill="1" applyBorder="1" applyAlignment="1" applyProtection="1">
      <alignment horizontal="left" vertical="center"/>
      <protection locked="0"/>
    </xf>
    <xf numFmtId="0" fontId="97" fillId="50" borderId="25" xfId="0" applyFont="1" applyFill="1" applyBorder="1" applyAlignment="1" applyProtection="1">
      <alignment horizontal="center" vertical="center" wrapText="1"/>
      <protection locked="0"/>
    </xf>
    <xf numFmtId="0" fontId="97" fillId="50" borderId="0" xfId="0" applyFont="1" applyFill="1" applyBorder="1" applyAlignment="1" applyProtection="1">
      <alignment horizontal="center" vertical="center" wrapText="1"/>
      <protection locked="0"/>
    </xf>
    <xf numFmtId="0" fontId="97" fillId="50" borderId="28" xfId="0" applyFont="1" applyFill="1" applyBorder="1" applyAlignment="1" applyProtection="1">
      <alignment horizontal="center" vertical="center" wrapText="1"/>
      <protection locked="0"/>
    </xf>
    <xf numFmtId="0" fontId="82" fillId="51" borderId="94" xfId="0" applyFont="1" applyFill="1" applyBorder="1" applyAlignment="1" applyProtection="1">
      <alignment horizontal="center" vertical="center" textRotation="90" wrapText="1"/>
      <protection locked="0"/>
    </xf>
    <xf numFmtId="0" fontId="82" fillId="51" borderId="96" xfId="0" applyFont="1" applyFill="1" applyBorder="1" applyAlignment="1" applyProtection="1">
      <alignment horizontal="center" vertical="center" textRotation="90" wrapText="1"/>
      <protection locked="0"/>
    </xf>
    <xf numFmtId="0" fontId="82" fillId="51" borderId="17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82" fillId="51" borderId="90" xfId="0" applyFont="1" applyFill="1" applyBorder="1" applyAlignment="1" applyProtection="1">
      <alignment horizontal="center" vertical="center" textRotation="90" wrapText="1"/>
      <protection locked="0"/>
    </xf>
    <xf numFmtId="0" fontId="82" fillId="51" borderId="117" xfId="0" applyFont="1" applyFill="1" applyBorder="1" applyAlignment="1" applyProtection="1">
      <alignment horizontal="center" vertical="center" textRotation="90" wrapText="1"/>
      <protection locked="0"/>
    </xf>
    <xf numFmtId="0" fontId="82" fillId="51" borderId="91" xfId="0" applyFont="1" applyFill="1" applyBorder="1" applyAlignment="1" applyProtection="1">
      <alignment horizontal="center" vertical="center" textRotation="90" wrapText="1"/>
      <protection locked="0"/>
    </xf>
    <xf numFmtId="0" fontId="82" fillId="51" borderId="92" xfId="0" applyFont="1" applyFill="1" applyBorder="1" applyAlignment="1" applyProtection="1">
      <alignment horizontal="center" vertical="center" textRotation="90" wrapText="1"/>
      <protection locked="0"/>
    </xf>
    <xf numFmtId="0" fontId="96" fillId="36" borderId="24" xfId="0" applyFont="1" applyFill="1" applyBorder="1" applyAlignment="1" applyProtection="1">
      <alignment horizontal="center" vertical="center" wrapText="1"/>
      <protection locked="0"/>
    </xf>
    <xf numFmtId="0" fontId="96" fillId="36" borderId="25" xfId="0" applyFont="1" applyFill="1" applyBorder="1" applyAlignment="1" applyProtection="1">
      <alignment horizontal="center" vertical="center" wrapText="1"/>
      <protection locked="0"/>
    </xf>
    <xf numFmtId="0" fontId="96" fillId="36" borderId="27" xfId="0" applyFont="1" applyFill="1" applyBorder="1" applyAlignment="1" applyProtection="1">
      <alignment horizontal="center" vertical="center" wrapText="1"/>
      <protection locked="0"/>
    </xf>
    <xf numFmtId="0" fontId="96" fillId="36" borderId="28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/>
      <protection locked="0"/>
    </xf>
    <xf numFmtId="0" fontId="82" fillId="0" borderId="118" xfId="0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82" fillId="0" borderId="17" xfId="0" applyFont="1" applyFill="1" applyBorder="1" applyAlignment="1" applyProtection="1">
      <alignment horizontal="center" vertical="center"/>
      <protection locked="0"/>
    </xf>
    <xf numFmtId="0" fontId="82" fillId="51" borderId="94" xfId="0" applyFont="1" applyFill="1" applyBorder="1" applyAlignment="1" applyProtection="1">
      <alignment horizontal="center" vertical="center" textRotation="90"/>
      <protection locked="0"/>
    </xf>
    <xf numFmtId="0" fontId="82" fillId="51" borderId="96" xfId="0" applyFont="1" applyFill="1" applyBorder="1" applyAlignment="1" applyProtection="1">
      <alignment horizontal="center" vertical="center" textRotation="90"/>
      <protection locked="0"/>
    </xf>
    <xf numFmtId="0" fontId="82" fillId="51" borderId="17" xfId="0" applyFont="1" applyFill="1" applyBorder="1" applyAlignment="1" applyProtection="1">
      <alignment horizontal="center" vertical="center" textRotation="90"/>
      <protection locked="0"/>
    </xf>
    <xf numFmtId="0" fontId="101" fillId="51" borderId="90" xfId="0" applyFont="1" applyFill="1" applyBorder="1" applyAlignment="1" applyProtection="1">
      <alignment horizontal="center" vertical="center" textRotation="90" wrapText="1"/>
      <protection locked="0"/>
    </xf>
    <xf numFmtId="0" fontId="101" fillId="51" borderId="91" xfId="0" applyFont="1" applyFill="1" applyBorder="1" applyAlignment="1" applyProtection="1">
      <alignment horizontal="center" vertical="center" textRotation="90" wrapText="1"/>
      <protection locked="0"/>
    </xf>
    <xf numFmtId="0" fontId="101" fillId="51" borderId="119" xfId="0" applyFont="1" applyFill="1" applyBorder="1" applyAlignment="1" applyProtection="1">
      <alignment horizontal="center" vertical="center" textRotation="90" wrapText="1"/>
      <protection locked="0"/>
    </xf>
    <xf numFmtId="0" fontId="101" fillId="51" borderId="92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12" fillId="52" borderId="0" xfId="0" applyFont="1" applyFill="1" applyBorder="1" applyAlignment="1" applyProtection="1">
      <alignment horizontal="center" vertical="center" wrapText="1"/>
      <protection/>
    </xf>
    <xf numFmtId="0" fontId="12" fillId="52" borderId="120" xfId="0" applyFont="1" applyFill="1" applyBorder="1" applyAlignment="1" applyProtection="1">
      <alignment horizontal="center" vertical="center" wrapText="1"/>
      <protection/>
    </xf>
    <xf numFmtId="0" fontId="0" fillId="50" borderId="0" xfId="0" applyFill="1" applyBorder="1" applyAlignment="1" applyProtection="1">
      <alignment horizontal="center" vertical="top" wrapText="1"/>
      <protection/>
    </xf>
    <xf numFmtId="0" fontId="0" fillId="50" borderId="102" xfId="0" applyFill="1" applyBorder="1" applyAlignment="1" applyProtection="1">
      <alignment horizontal="center" vertical="top" wrapText="1"/>
      <protection/>
    </xf>
    <xf numFmtId="0" fontId="87" fillId="35" borderId="24" xfId="0" applyFont="1" applyFill="1" applyBorder="1" applyAlignment="1" applyProtection="1">
      <alignment horizontal="center" vertical="center" wrapText="1"/>
      <protection/>
    </xf>
    <xf numFmtId="0" fontId="87" fillId="35" borderId="25" xfId="0" applyFont="1" applyFill="1" applyBorder="1" applyAlignment="1" applyProtection="1">
      <alignment horizontal="center" vertical="center" wrapText="1"/>
      <protection/>
    </xf>
    <xf numFmtId="0" fontId="87" fillId="35" borderId="32" xfId="0" applyFont="1" applyFill="1" applyBorder="1" applyAlignment="1" applyProtection="1">
      <alignment horizontal="center" vertical="center" wrapText="1"/>
      <protection/>
    </xf>
    <xf numFmtId="0" fontId="87" fillId="35" borderId="0" xfId="0" applyFont="1" applyFill="1" applyBorder="1" applyAlignment="1" applyProtection="1">
      <alignment horizontal="center" vertical="center" wrapText="1"/>
      <protection/>
    </xf>
    <xf numFmtId="0" fontId="87" fillId="35" borderId="27" xfId="0" applyFont="1" applyFill="1" applyBorder="1" applyAlignment="1" applyProtection="1">
      <alignment horizontal="center" vertical="center" wrapText="1"/>
      <protection/>
    </xf>
    <xf numFmtId="0" fontId="87" fillId="35" borderId="28" xfId="0" applyFont="1" applyFill="1" applyBorder="1" applyAlignment="1" applyProtection="1">
      <alignment horizontal="center" vertical="center" wrapText="1"/>
      <protection/>
    </xf>
    <xf numFmtId="0" fontId="10" fillId="0" borderId="114" xfId="0" applyFont="1" applyBorder="1" applyAlignment="1" applyProtection="1">
      <alignment horizontal="center" vertical="center"/>
      <protection/>
    </xf>
    <xf numFmtId="0" fontId="10" fillId="0" borderId="115" xfId="0" applyFont="1" applyBorder="1" applyAlignment="1" applyProtection="1">
      <alignment horizontal="center" vertical="center"/>
      <protection/>
    </xf>
    <xf numFmtId="0" fontId="10" fillId="0" borderId="121" xfId="0" applyFont="1" applyBorder="1" applyAlignment="1" applyProtection="1">
      <alignment horizontal="center" vertical="center"/>
      <protection/>
    </xf>
    <xf numFmtId="0" fontId="54" fillId="47" borderId="122" xfId="0" applyFont="1" applyFill="1" applyBorder="1" applyAlignment="1" applyProtection="1">
      <alignment horizontal="center" vertical="center"/>
      <protection/>
    </xf>
    <xf numFmtId="0" fontId="54" fillId="47" borderId="123" xfId="0" applyFont="1" applyFill="1" applyBorder="1" applyAlignment="1" applyProtection="1">
      <alignment horizontal="center" vertical="center"/>
      <protection/>
    </xf>
    <xf numFmtId="0" fontId="54" fillId="47" borderId="109" xfId="0" applyFont="1" applyFill="1" applyBorder="1" applyAlignment="1" applyProtection="1">
      <alignment horizontal="center" vertical="center"/>
      <protection/>
    </xf>
    <xf numFmtId="0" fontId="82" fillId="0" borderId="124" xfId="0" applyFont="1" applyBorder="1" applyAlignment="1" applyProtection="1">
      <alignment horizontal="center" vertical="center"/>
      <protection locked="0"/>
    </xf>
    <xf numFmtId="0" fontId="0" fillId="0" borderId="125" xfId="0" applyBorder="1" applyAlignment="1" applyProtection="1">
      <alignment horizontal="center" vertical="center"/>
      <protection locked="0"/>
    </xf>
    <xf numFmtId="0" fontId="0" fillId="0" borderId="126" xfId="0" applyBorder="1" applyAlignment="1" applyProtection="1">
      <alignment horizontal="center" vertical="center"/>
      <protection locked="0"/>
    </xf>
    <xf numFmtId="0" fontId="0" fillId="0" borderId="127" xfId="0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129" xfId="0" applyBorder="1" applyAlignment="1" applyProtection="1">
      <alignment horizontal="center" vertical="center"/>
      <protection locked="0"/>
    </xf>
    <xf numFmtId="0" fontId="82" fillId="0" borderId="85" xfId="0" applyFont="1" applyBorder="1" applyAlignment="1" applyProtection="1">
      <alignment horizontal="center" vertical="center"/>
      <protection locked="0"/>
    </xf>
    <xf numFmtId="0" fontId="82" fillId="0" borderId="130" xfId="0" applyFont="1" applyBorder="1" applyAlignment="1" applyProtection="1">
      <alignment horizontal="center" vertical="center"/>
      <protection locked="0"/>
    </xf>
    <xf numFmtId="0" fontId="54" fillId="45" borderId="131" xfId="0" applyFont="1" applyFill="1" applyBorder="1" applyAlignment="1" applyProtection="1">
      <alignment horizontal="center" vertical="center"/>
      <protection/>
    </xf>
    <xf numFmtId="0" fontId="54" fillId="45" borderId="97" xfId="0" applyFont="1" applyFill="1" applyBorder="1" applyAlignment="1" applyProtection="1">
      <alignment horizontal="center" vertical="center"/>
      <protection/>
    </xf>
    <xf numFmtId="0" fontId="0" fillId="50" borderId="85" xfId="0" applyFill="1" applyBorder="1" applyAlignment="1" applyProtection="1">
      <alignment horizontal="center" wrapText="1"/>
      <protection/>
    </xf>
    <xf numFmtId="0" fontId="0" fillId="50" borderId="132" xfId="0" applyFill="1" applyBorder="1" applyAlignment="1" applyProtection="1">
      <alignment horizontal="center" wrapText="1"/>
      <protection/>
    </xf>
    <xf numFmtId="0" fontId="0" fillId="50" borderId="130" xfId="0" applyFill="1" applyBorder="1" applyAlignment="1" applyProtection="1">
      <alignment horizontal="center" wrapText="1"/>
      <protection/>
    </xf>
    <xf numFmtId="0" fontId="0" fillId="52" borderId="73" xfId="0" applyFill="1" applyBorder="1" applyAlignment="1" applyProtection="1">
      <alignment horizontal="center" vertical="center" wrapText="1"/>
      <protection/>
    </xf>
    <xf numFmtId="0" fontId="0" fillId="52" borderId="62" xfId="0" applyFill="1" applyBorder="1" applyAlignment="1" applyProtection="1">
      <alignment horizontal="center" vertical="center" wrapText="1"/>
      <protection/>
    </xf>
    <xf numFmtId="0" fontId="0" fillId="52" borderId="63" xfId="0" applyFill="1" applyBorder="1" applyAlignment="1" applyProtection="1">
      <alignment horizontal="center" vertical="center" wrapText="1"/>
      <protection/>
    </xf>
    <xf numFmtId="0" fontId="0" fillId="52" borderId="133" xfId="0" applyFill="1" applyBorder="1" applyAlignment="1" applyProtection="1">
      <alignment horizontal="center" vertical="center" wrapText="1"/>
      <protection/>
    </xf>
    <xf numFmtId="0" fontId="0" fillId="52" borderId="0" xfId="0" applyFill="1" applyBorder="1" applyAlignment="1" applyProtection="1">
      <alignment horizontal="center" vertical="center" wrapText="1"/>
      <protection/>
    </xf>
    <xf numFmtId="0" fontId="0" fillId="52" borderId="120" xfId="0" applyFill="1" applyBorder="1" applyAlignment="1" applyProtection="1">
      <alignment horizontal="center" vertical="center" wrapText="1"/>
      <protection/>
    </xf>
    <xf numFmtId="0" fontId="0" fillId="52" borderId="72" xfId="0" applyFill="1" applyBorder="1" applyAlignment="1" applyProtection="1">
      <alignment horizontal="center" vertical="center" wrapText="1"/>
      <protection/>
    </xf>
    <xf numFmtId="0" fontId="0" fillId="52" borderId="59" xfId="0" applyFill="1" applyBorder="1" applyAlignment="1" applyProtection="1">
      <alignment horizontal="center" vertical="center" wrapText="1"/>
      <protection/>
    </xf>
    <xf numFmtId="0" fontId="0" fillId="52" borderId="60" xfId="0" applyFill="1" applyBorder="1" applyAlignment="1" applyProtection="1">
      <alignment horizontal="center" vertical="center" wrapText="1"/>
      <protection/>
    </xf>
    <xf numFmtId="0" fontId="87" fillId="35" borderId="26" xfId="0" applyFont="1" applyFill="1" applyBorder="1" applyAlignment="1" applyProtection="1">
      <alignment horizontal="center" vertical="center" wrapText="1"/>
      <protection/>
    </xf>
    <xf numFmtId="0" fontId="87" fillId="35" borderId="102" xfId="0" applyFont="1" applyFill="1" applyBorder="1" applyAlignment="1" applyProtection="1">
      <alignment horizontal="center" vertical="center" wrapText="1"/>
      <protection/>
    </xf>
    <xf numFmtId="0" fontId="87" fillId="35" borderId="29" xfId="0" applyFont="1" applyFill="1" applyBorder="1" applyAlignment="1" applyProtection="1">
      <alignment horizontal="center" vertical="center" wrapText="1"/>
      <protection/>
    </xf>
    <xf numFmtId="0" fontId="0" fillId="52" borderId="24" xfId="0" applyFill="1" applyBorder="1" applyAlignment="1" applyProtection="1">
      <alignment horizontal="center" vertical="center" wrapText="1"/>
      <protection/>
    </xf>
    <xf numFmtId="0" fontId="0" fillId="52" borderId="25" xfId="0" applyFill="1" applyBorder="1" applyAlignment="1" applyProtection="1">
      <alignment horizontal="center" vertical="center" wrapText="1"/>
      <protection/>
    </xf>
    <xf numFmtId="0" fontId="0" fillId="52" borderId="26" xfId="0" applyFill="1" applyBorder="1" applyAlignment="1" applyProtection="1">
      <alignment horizontal="center" vertical="center" wrapText="1"/>
      <protection/>
    </xf>
    <xf numFmtId="0" fontId="0" fillId="52" borderId="32" xfId="0" applyFill="1" applyBorder="1" applyAlignment="1" applyProtection="1">
      <alignment horizontal="center" vertical="center" wrapText="1"/>
      <protection/>
    </xf>
    <xf numFmtId="0" fontId="0" fillId="52" borderId="102" xfId="0" applyFill="1" applyBorder="1" applyAlignment="1" applyProtection="1">
      <alignment horizontal="center" vertical="center" wrapText="1"/>
      <protection/>
    </xf>
    <xf numFmtId="0" fontId="0" fillId="52" borderId="27" xfId="0" applyFill="1" applyBorder="1" applyAlignment="1" applyProtection="1">
      <alignment horizontal="center" vertical="center" wrapText="1"/>
      <protection/>
    </xf>
    <xf numFmtId="0" fontId="0" fillId="52" borderId="28" xfId="0" applyFill="1" applyBorder="1" applyAlignment="1" applyProtection="1">
      <alignment horizontal="center" vertical="center" wrapText="1"/>
      <protection/>
    </xf>
    <xf numFmtId="0" fontId="0" fillId="52" borderId="29" xfId="0" applyFill="1" applyBorder="1" applyAlignment="1" applyProtection="1">
      <alignment horizontal="center" vertical="center" wrapText="1"/>
      <protection/>
    </xf>
    <xf numFmtId="0" fontId="0" fillId="50" borderId="85" xfId="0" applyFill="1" applyBorder="1" applyAlignment="1" applyProtection="1">
      <alignment horizontal="center" vertical="center" wrapText="1"/>
      <protection/>
    </xf>
    <xf numFmtId="0" fontId="0" fillId="50" borderId="132" xfId="0" applyFill="1" applyBorder="1" applyAlignment="1" applyProtection="1">
      <alignment horizontal="center" vertical="center" wrapText="1"/>
      <protection/>
    </xf>
    <xf numFmtId="0" fontId="0" fillId="50" borderId="130" xfId="0" applyFill="1" applyBorder="1" applyAlignment="1" applyProtection="1">
      <alignment horizontal="center" vertical="center" wrapText="1"/>
      <protection/>
    </xf>
    <xf numFmtId="44" fontId="64" fillId="0" borderId="85" xfId="0" applyNumberFormat="1" applyFont="1" applyBorder="1" applyAlignment="1" applyProtection="1">
      <alignment horizontal="center" vertical="center"/>
      <protection/>
    </xf>
    <xf numFmtId="0" fontId="64" fillId="0" borderId="130" xfId="0" applyFont="1" applyBorder="1" applyAlignment="1" applyProtection="1">
      <alignment horizontal="center" vertical="center"/>
      <protection/>
    </xf>
    <xf numFmtId="0" fontId="9" fillId="0" borderId="85" xfId="0" applyFont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/>
    </xf>
    <xf numFmtId="0" fontId="9" fillId="0" borderId="130" xfId="0" applyFont="1" applyBorder="1" applyAlignment="1" applyProtection="1">
      <alignment horizontal="center" vertical="center"/>
      <protection/>
    </xf>
    <xf numFmtId="0" fontId="54" fillId="41" borderId="134" xfId="0" applyFont="1" applyFill="1" applyBorder="1" applyAlignment="1" applyProtection="1">
      <alignment horizontal="center" vertical="center"/>
      <protection/>
    </xf>
    <xf numFmtId="0" fontId="54" fillId="41" borderId="115" xfId="0" applyFont="1" applyFill="1" applyBorder="1" applyAlignment="1" applyProtection="1">
      <alignment horizontal="center" vertical="center"/>
      <protection/>
    </xf>
    <xf numFmtId="0" fontId="48" fillId="0" borderId="33" xfId="0" applyFont="1" applyBorder="1" applyAlignment="1" applyProtection="1">
      <alignment horizontal="center"/>
      <protection/>
    </xf>
    <xf numFmtId="0" fontId="54" fillId="41" borderId="131" xfId="0" applyFont="1" applyFill="1" applyBorder="1" applyAlignment="1" applyProtection="1">
      <alignment horizontal="center" vertical="center"/>
      <protection/>
    </xf>
    <xf numFmtId="0" fontId="54" fillId="41" borderId="97" xfId="0" applyFont="1" applyFill="1" applyBorder="1" applyAlignment="1" applyProtection="1">
      <alignment horizontal="center" vertical="center"/>
      <protection/>
    </xf>
    <xf numFmtId="0" fontId="54" fillId="42" borderId="131" xfId="0" applyFont="1" applyFill="1" applyBorder="1" applyAlignment="1" applyProtection="1">
      <alignment horizontal="center" vertical="center"/>
      <protection/>
    </xf>
    <xf numFmtId="0" fontId="54" fillId="42" borderId="97" xfId="0" applyFont="1" applyFill="1" applyBorder="1" applyAlignment="1" applyProtection="1">
      <alignment horizontal="center" vertical="center"/>
      <protection/>
    </xf>
    <xf numFmtId="0" fontId="12" fillId="52" borderId="73" xfId="0" applyFont="1" applyFill="1" applyBorder="1" applyAlignment="1" applyProtection="1">
      <alignment horizontal="center" vertical="center" wrapText="1"/>
      <protection/>
    </xf>
    <xf numFmtId="0" fontId="102" fillId="52" borderId="62" xfId="0" applyFont="1" applyFill="1" applyBorder="1" applyAlignment="1" applyProtection="1">
      <alignment horizontal="center" vertical="center" wrapText="1"/>
      <protection/>
    </xf>
    <xf numFmtId="0" fontId="102" fillId="52" borderId="63" xfId="0" applyFont="1" applyFill="1" applyBorder="1" applyAlignment="1" applyProtection="1">
      <alignment horizontal="center" vertical="center" wrapText="1"/>
      <protection/>
    </xf>
    <xf numFmtId="0" fontId="102" fillId="52" borderId="133" xfId="0" applyFont="1" applyFill="1" applyBorder="1" applyAlignment="1" applyProtection="1">
      <alignment horizontal="center" vertical="center" wrapText="1"/>
      <protection/>
    </xf>
    <xf numFmtId="0" fontId="102" fillId="52" borderId="0" xfId="0" applyFont="1" applyFill="1" applyBorder="1" applyAlignment="1" applyProtection="1">
      <alignment horizontal="center" vertical="center" wrapText="1"/>
      <protection/>
    </xf>
    <xf numFmtId="0" fontId="102" fillId="52" borderId="120" xfId="0" applyFont="1" applyFill="1" applyBorder="1" applyAlignment="1" applyProtection="1">
      <alignment horizontal="center" vertical="center" wrapText="1"/>
      <protection/>
    </xf>
    <xf numFmtId="0" fontId="102" fillId="52" borderId="72" xfId="0" applyFont="1" applyFill="1" applyBorder="1" applyAlignment="1" applyProtection="1">
      <alignment horizontal="center" vertical="center" wrapText="1"/>
      <protection/>
    </xf>
    <xf numFmtId="0" fontId="102" fillId="52" borderId="59" xfId="0" applyFont="1" applyFill="1" applyBorder="1" applyAlignment="1" applyProtection="1">
      <alignment horizontal="center" vertical="center" wrapText="1"/>
      <protection/>
    </xf>
    <xf numFmtId="0" fontId="102" fillId="52" borderId="60" xfId="0" applyFont="1" applyFill="1" applyBorder="1" applyAlignment="1" applyProtection="1">
      <alignment horizontal="center" vertical="center" wrapText="1"/>
      <protection/>
    </xf>
    <xf numFmtId="0" fontId="8" fillId="50" borderId="38" xfId="0" applyFont="1" applyFill="1" applyBorder="1" applyAlignment="1" applyProtection="1">
      <alignment horizontal="left" vertical="top" wrapText="1"/>
      <protection/>
    </xf>
    <xf numFmtId="0" fontId="8" fillId="50" borderId="40" xfId="0" applyFont="1" applyFill="1" applyBorder="1" applyAlignment="1" applyProtection="1">
      <alignment horizontal="left" vertical="top" wrapText="1"/>
      <protection/>
    </xf>
    <xf numFmtId="0" fontId="8" fillId="50" borderId="41" xfId="0" applyFont="1" applyFill="1" applyBorder="1" applyAlignment="1" applyProtection="1">
      <alignment horizontal="left" vertical="top" wrapText="1"/>
      <protection/>
    </xf>
    <xf numFmtId="0" fontId="54" fillId="43" borderId="131" xfId="0" applyFont="1" applyFill="1" applyBorder="1" applyAlignment="1" applyProtection="1">
      <alignment horizontal="center" vertical="center"/>
      <protection/>
    </xf>
    <xf numFmtId="0" fontId="62" fillId="43" borderId="97" xfId="0" applyFont="1" applyFill="1" applyBorder="1" applyAlignment="1" applyProtection="1">
      <alignment horizontal="center" vertical="center"/>
      <protection/>
    </xf>
    <xf numFmtId="0" fontId="10" fillId="0" borderId="85" xfId="0" applyFont="1" applyBorder="1" applyAlignment="1" applyProtection="1">
      <alignment horizontal="center" vertical="center"/>
      <protection/>
    </xf>
    <xf numFmtId="0" fontId="10" fillId="0" borderId="132" xfId="0" applyFont="1" applyBorder="1" applyAlignment="1" applyProtection="1">
      <alignment horizontal="center" vertical="center"/>
      <protection/>
    </xf>
    <xf numFmtId="0" fontId="10" fillId="0" borderId="130" xfId="0" applyFont="1" applyBorder="1" applyAlignment="1" applyProtection="1">
      <alignment horizontal="center" vertical="center"/>
      <protection/>
    </xf>
    <xf numFmtId="49" fontId="0" fillId="50" borderId="85" xfId="0" applyNumberFormat="1" applyFill="1" applyBorder="1" applyAlignment="1" applyProtection="1">
      <alignment horizontal="center" vertical="center" wrapText="1"/>
      <protection/>
    </xf>
    <xf numFmtId="49" fontId="0" fillId="50" borderId="132" xfId="0" applyNumberFormat="1" applyFill="1" applyBorder="1" applyAlignment="1" applyProtection="1">
      <alignment horizontal="center" vertical="center" wrapText="1"/>
      <protection/>
    </xf>
    <xf numFmtId="49" fontId="0" fillId="50" borderId="130" xfId="0" applyNumberFormat="1" applyFill="1" applyBorder="1" applyAlignment="1" applyProtection="1">
      <alignment horizontal="center" vertical="center" wrapText="1"/>
      <protection/>
    </xf>
    <xf numFmtId="0" fontId="0" fillId="0" borderId="135" xfId="0" applyBorder="1" applyAlignment="1" applyProtection="1">
      <alignment horizontal="center" vertical="center" wrapText="1"/>
      <protection locked="0"/>
    </xf>
    <xf numFmtId="0" fontId="0" fillId="0" borderId="136" xfId="0" applyBorder="1" applyAlignment="1" applyProtection="1">
      <alignment horizontal="center" vertical="center" wrapText="1"/>
      <protection locked="0"/>
    </xf>
    <xf numFmtId="0" fontId="0" fillId="0" borderId="85" xfId="0" applyBorder="1" applyAlignment="1" applyProtection="1">
      <alignment horizontal="center" vertical="center"/>
      <protection/>
    </xf>
    <xf numFmtId="0" fontId="0" fillId="0" borderId="132" xfId="0" applyBorder="1" applyAlignment="1" applyProtection="1">
      <alignment horizontal="center" vertical="center"/>
      <protection/>
    </xf>
    <xf numFmtId="0" fontId="0" fillId="0" borderId="135" xfId="0" applyBorder="1" applyAlignment="1" applyProtection="1">
      <alignment horizontal="center" vertical="center" wrapText="1"/>
      <protection/>
    </xf>
    <xf numFmtId="0" fontId="0" fillId="0" borderId="136" xfId="0" applyBorder="1" applyAlignment="1" applyProtection="1">
      <alignment horizontal="center" vertical="center" wrapText="1"/>
      <protection/>
    </xf>
    <xf numFmtId="44" fontId="103" fillId="7" borderId="85" xfId="0" applyNumberFormat="1" applyFont="1" applyFill="1" applyBorder="1" applyAlignment="1" applyProtection="1">
      <alignment horizontal="right" vertical="center" wrapText="1"/>
      <protection/>
    </xf>
    <xf numFmtId="44" fontId="103" fillId="7" borderId="132" xfId="0" applyNumberFormat="1" applyFont="1" applyFill="1" applyBorder="1" applyAlignment="1" applyProtection="1">
      <alignment horizontal="right" vertical="center" wrapText="1"/>
      <protection/>
    </xf>
    <xf numFmtId="44" fontId="103" fillId="7" borderId="130" xfId="0" applyNumberFormat="1" applyFont="1" applyFill="1" applyBorder="1" applyAlignment="1" applyProtection="1">
      <alignment horizontal="right" vertical="center" wrapText="1"/>
      <protection/>
    </xf>
    <xf numFmtId="0" fontId="0" fillId="0" borderId="101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/>
    </xf>
    <xf numFmtId="0" fontId="84" fillId="0" borderId="137" xfId="0" applyFont="1" applyBorder="1" applyAlignment="1" applyProtection="1">
      <alignment horizontal="center" vertical="center" wrapText="1"/>
      <protection/>
    </xf>
    <xf numFmtId="0" fontId="84" fillId="0" borderId="138" xfId="0" applyFont="1" applyBorder="1" applyAlignment="1" applyProtection="1">
      <alignment horizontal="center" vertical="center" wrapText="1"/>
      <protection/>
    </xf>
    <xf numFmtId="0" fontId="84" fillId="0" borderId="139" xfId="0" applyFont="1" applyBorder="1" applyAlignment="1" applyProtection="1">
      <alignment horizontal="center" vertical="center" wrapText="1"/>
      <protection/>
    </xf>
    <xf numFmtId="0" fontId="84" fillId="0" borderId="86" xfId="0" applyFont="1" applyBorder="1" applyAlignment="1" applyProtection="1">
      <alignment horizontal="center" vertical="center" wrapText="1"/>
      <protection/>
    </xf>
    <xf numFmtId="0" fontId="84" fillId="0" borderId="87" xfId="0" applyFont="1" applyBorder="1" applyAlignment="1" applyProtection="1">
      <alignment horizontal="center" vertical="center" wrapText="1"/>
      <protection/>
    </xf>
    <xf numFmtId="0" fontId="84" fillId="0" borderId="88" xfId="0" applyFont="1" applyBorder="1" applyAlignment="1" applyProtection="1">
      <alignment horizontal="center" vertical="center" wrapText="1"/>
      <protection/>
    </xf>
    <xf numFmtId="0" fontId="84" fillId="0" borderId="113" xfId="0" applyFont="1" applyBorder="1" applyAlignment="1" applyProtection="1">
      <alignment horizontal="center" vertical="center"/>
      <protection/>
    </xf>
    <xf numFmtId="0" fontId="84" fillId="0" borderId="16" xfId="0" applyFont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 wrapText="1"/>
      <protection/>
    </xf>
    <xf numFmtId="0" fontId="100" fillId="0" borderId="0" xfId="0" applyFont="1" applyAlignment="1" applyProtection="1">
      <alignment horizontal="center" vertical="center" wrapText="1"/>
      <protection/>
    </xf>
    <xf numFmtId="0" fontId="100" fillId="0" borderId="16" xfId="0" applyFont="1" applyBorder="1" applyAlignment="1" applyProtection="1">
      <alignment horizontal="center" vertical="center" wrapText="1"/>
      <protection/>
    </xf>
    <xf numFmtId="44" fontId="84" fillId="0" borderId="85" xfId="48" applyFont="1" applyBorder="1" applyAlignment="1" applyProtection="1">
      <alignment horizontal="center" vertical="center"/>
      <protection locked="0"/>
    </xf>
    <xf numFmtId="44" fontId="84" fillId="0" borderId="132" xfId="48" applyFont="1" applyBorder="1" applyAlignment="1" applyProtection="1">
      <alignment horizontal="center" vertical="center"/>
      <protection locked="0"/>
    </xf>
    <xf numFmtId="44" fontId="84" fillId="0" borderId="130" xfId="48" applyFont="1" applyBorder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horizontal="center" vertical="center" wrapText="1"/>
      <protection locked="0"/>
    </xf>
    <xf numFmtId="0" fontId="100" fillId="0" borderId="0" xfId="0" applyFont="1" applyAlignment="1" applyProtection="1">
      <alignment horizontal="center" vertical="center" wrapText="1"/>
      <protection locked="0"/>
    </xf>
    <xf numFmtId="0" fontId="100" fillId="0" borderId="16" xfId="0" applyFont="1" applyBorder="1" applyAlignment="1" applyProtection="1">
      <alignment horizontal="center" vertical="center" wrapText="1"/>
      <protection locked="0"/>
    </xf>
    <xf numFmtId="0" fontId="84" fillId="0" borderId="113" xfId="0" applyFont="1" applyBorder="1" applyAlignment="1" applyProtection="1">
      <alignment horizontal="center" vertical="center"/>
      <protection locked="0"/>
    </xf>
    <xf numFmtId="0" fontId="84" fillId="0" borderId="16" xfId="0" applyFont="1" applyBorder="1" applyAlignment="1" applyProtection="1">
      <alignment horizontal="center" vertical="center"/>
      <protection locked="0"/>
    </xf>
    <xf numFmtId="0" fontId="84" fillId="0" borderId="140" xfId="0" applyFont="1" applyBorder="1" applyAlignment="1" applyProtection="1">
      <alignment horizontal="center" vertical="center"/>
      <protection locked="0"/>
    </xf>
    <xf numFmtId="44" fontId="104" fillId="0" borderId="85" xfId="0" applyNumberFormat="1" applyFont="1" applyBorder="1" applyAlignment="1" applyProtection="1">
      <alignment horizontal="center" vertical="top" wrapText="1"/>
      <protection locked="0"/>
    </xf>
    <xf numFmtId="44" fontId="104" fillId="0" borderId="130" xfId="0" applyNumberFormat="1" applyFont="1" applyBorder="1" applyAlignment="1" applyProtection="1">
      <alignment horizontal="center" vertical="top" wrapText="1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132" xfId="0" applyBorder="1" applyAlignment="1" applyProtection="1">
      <alignment horizontal="center" vertical="center"/>
      <protection locked="0"/>
    </xf>
    <xf numFmtId="0" fontId="84" fillId="0" borderId="137" xfId="0" applyFont="1" applyBorder="1" applyAlignment="1" applyProtection="1">
      <alignment horizontal="center" vertical="center" wrapText="1"/>
      <protection locked="0"/>
    </xf>
    <xf numFmtId="0" fontId="84" fillId="0" borderId="138" xfId="0" applyFont="1" applyBorder="1" applyAlignment="1" applyProtection="1">
      <alignment horizontal="center" vertical="center" wrapText="1"/>
      <protection locked="0"/>
    </xf>
    <xf numFmtId="0" fontId="84" fillId="0" borderId="139" xfId="0" applyFont="1" applyBorder="1" applyAlignment="1" applyProtection="1">
      <alignment horizontal="center" vertical="center" wrapText="1"/>
      <protection locked="0"/>
    </xf>
    <xf numFmtId="0" fontId="84" fillId="0" borderId="86" xfId="0" applyFont="1" applyBorder="1" applyAlignment="1" applyProtection="1">
      <alignment horizontal="center" vertical="center" wrapText="1"/>
      <protection locked="0"/>
    </xf>
    <xf numFmtId="0" fontId="84" fillId="0" borderId="87" xfId="0" applyFont="1" applyBorder="1" applyAlignment="1" applyProtection="1">
      <alignment horizontal="center" vertical="center" wrapText="1"/>
      <protection locked="0"/>
    </xf>
    <xf numFmtId="0" fontId="84" fillId="0" borderId="8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7</xdr:row>
      <xdr:rowOff>180975</xdr:rowOff>
    </xdr:from>
    <xdr:to>
      <xdr:col>8</xdr:col>
      <xdr:colOff>352425</xdr:colOff>
      <xdr:row>7</xdr:row>
      <xdr:rowOff>409575</xdr:rowOff>
    </xdr:to>
    <xdr:sp>
      <xdr:nvSpPr>
        <xdr:cNvPr id="1" name="1 Flecha derecha"/>
        <xdr:cNvSpPr>
          <a:spLocks/>
        </xdr:cNvSpPr>
      </xdr:nvSpPr>
      <xdr:spPr>
        <a:xfrm rot="10800000">
          <a:off x="10858500" y="1676400"/>
          <a:ext cx="209550" cy="228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24</xdr:row>
      <xdr:rowOff>180975</xdr:rowOff>
    </xdr:from>
    <xdr:to>
      <xdr:col>8</xdr:col>
      <xdr:colOff>352425</xdr:colOff>
      <xdr:row>24</xdr:row>
      <xdr:rowOff>409575</xdr:rowOff>
    </xdr:to>
    <xdr:sp>
      <xdr:nvSpPr>
        <xdr:cNvPr id="2" name="2 Flecha derecha"/>
        <xdr:cNvSpPr>
          <a:spLocks/>
        </xdr:cNvSpPr>
      </xdr:nvSpPr>
      <xdr:spPr>
        <a:xfrm rot="10800000">
          <a:off x="10858500" y="5505450"/>
          <a:ext cx="209550" cy="228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58</xdr:row>
      <xdr:rowOff>180975</xdr:rowOff>
    </xdr:from>
    <xdr:to>
      <xdr:col>8</xdr:col>
      <xdr:colOff>352425</xdr:colOff>
      <xdr:row>58</xdr:row>
      <xdr:rowOff>409575</xdr:rowOff>
    </xdr:to>
    <xdr:sp>
      <xdr:nvSpPr>
        <xdr:cNvPr id="3" name="3 Flecha derecha"/>
        <xdr:cNvSpPr>
          <a:spLocks/>
        </xdr:cNvSpPr>
      </xdr:nvSpPr>
      <xdr:spPr>
        <a:xfrm rot="10800000">
          <a:off x="10858500" y="13573125"/>
          <a:ext cx="209550" cy="228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94</xdr:row>
      <xdr:rowOff>180975</xdr:rowOff>
    </xdr:from>
    <xdr:to>
      <xdr:col>8</xdr:col>
      <xdr:colOff>352425</xdr:colOff>
      <xdr:row>94</xdr:row>
      <xdr:rowOff>409575</xdr:rowOff>
    </xdr:to>
    <xdr:sp>
      <xdr:nvSpPr>
        <xdr:cNvPr id="4" name="4 Flecha derecha"/>
        <xdr:cNvSpPr>
          <a:spLocks/>
        </xdr:cNvSpPr>
      </xdr:nvSpPr>
      <xdr:spPr>
        <a:xfrm rot="10800000">
          <a:off x="10858500" y="22574250"/>
          <a:ext cx="209550" cy="228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100</xdr:row>
      <xdr:rowOff>142875</xdr:rowOff>
    </xdr:from>
    <xdr:to>
      <xdr:col>7</xdr:col>
      <xdr:colOff>9525</xdr:colOff>
      <xdr:row>104</xdr:row>
      <xdr:rowOff>19050</xdr:rowOff>
    </xdr:to>
    <xdr:sp>
      <xdr:nvSpPr>
        <xdr:cNvPr id="5" name="4 Flecha derecha"/>
        <xdr:cNvSpPr>
          <a:spLocks/>
        </xdr:cNvSpPr>
      </xdr:nvSpPr>
      <xdr:spPr>
        <a:xfrm rot="10800000">
          <a:off x="7848600" y="24183975"/>
          <a:ext cx="1628775" cy="885825"/>
        </a:xfrm>
        <a:prstGeom prst="rightArrow">
          <a:avLst>
            <a:gd name="adj" fmla="val 22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108</xdr:row>
      <xdr:rowOff>180975</xdr:rowOff>
    </xdr:from>
    <xdr:to>
      <xdr:col>8</xdr:col>
      <xdr:colOff>352425</xdr:colOff>
      <xdr:row>108</xdr:row>
      <xdr:rowOff>409575</xdr:rowOff>
    </xdr:to>
    <xdr:sp>
      <xdr:nvSpPr>
        <xdr:cNvPr id="6" name="6 Flecha derecha"/>
        <xdr:cNvSpPr>
          <a:spLocks/>
        </xdr:cNvSpPr>
      </xdr:nvSpPr>
      <xdr:spPr>
        <a:xfrm rot="10800000">
          <a:off x="10858500" y="26050875"/>
          <a:ext cx="209550" cy="228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115</xdr:row>
      <xdr:rowOff>152400</xdr:rowOff>
    </xdr:from>
    <xdr:to>
      <xdr:col>6</xdr:col>
      <xdr:colOff>1076325</xdr:colOff>
      <xdr:row>118</xdr:row>
      <xdr:rowOff>9525</xdr:rowOff>
    </xdr:to>
    <xdr:sp>
      <xdr:nvSpPr>
        <xdr:cNvPr id="7" name="4 Flecha derecha"/>
        <xdr:cNvSpPr>
          <a:spLocks/>
        </xdr:cNvSpPr>
      </xdr:nvSpPr>
      <xdr:spPr>
        <a:xfrm rot="10800000">
          <a:off x="7839075" y="27774900"/>
          <a:ext cx="1628775" cy="885825"/>
        </a:xfrm>
        <a:prstGeom prst="rightArrow">
          <a:avLst>
            <a:gd name="adj" fmla="val 22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33</xdr:row>
      <xdr:rowOff>76200</xdr:rowOff>
    </xdr:from>
    <xdr:to>
      <xdr:col>7</xdr:col>
      <xdr:colOff>19050</xdr:colOff>
      <xdr:row>37</xdr:row>
      <xdr:rowOff>95250</xdr:rowOff>
    </xdr:to>
    <xdr:sp>
      <xdr:nvSpPr>
        <xdr:cNvPr id="8" name="4 Flecha derecha"/>
        <xdr:cNvSpPr>
          <a:spLocks/>
        </xdr:cNvSpPr>
      </xdr:nvSpPr>
      <xdr:spPr>
        <a:xfrm rot="10800000">
          <a:off x="7820025" y="7477125"/>
          <a:ext cx="1666875" cy="885825"/>
        </a:xfrm>
        <a:prstGeom prst="rightArrow">
          <a:avLst>
            <a:gd name="adj" fmla="val 235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16</xdr:row>
      <xdr:rowOff>104775</xdr:rowOff>
    </xdr:from>
    <xdr:to>
      <xdr:col>6</xdr:col>
      <xdr:colOff>1057275</xdr:colOff>
      <xdr:row>20</xdr:row>
      <xdr:rowOff>123825</xdr:rowOff>
    </xdr:to>
    <xdr:sp>
      <xdr:nvSpPr>
        <xdr:cNvPr id="9" name="4 Flecha derecha"/>
        <xdr:cNvSpPr>
          <a:spLocks/>
        </xdr:cNvSpPr>
      </xdr:nvSpPr>
      <xdr:spPr>
        <a:xfrm rot="10800000">
          <a:off x="7810500" y="3714750"/>
          <a:ext cx="1638300" cy="885825"/>
        </a:xfrm>
        <a:prstGeom prst="rightArrow">
          <a:avLst>
            <a:gd name="adj" fmla="val 23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67</xdr:row>
      <xdr:rowOff>76200</xdr:rowOff>
    </xdr:from>
    <xdr:to>
      <xdr:col>7</xdr:col>
      <xdr:colOff>0</xdr:colOff>
      <xdr:row>71</xdr:row>
      <xdr:rowOff>85725</xdr:rowOff>
    </xdr:to>
    <xdr:sp>
      <xdr:nvSpPr>
        <xdr:cNvPr id="10" name="4 Flecha derecha"/>
        <xdr:cNvSpPr>
          <a:spLocks/>
        </xdr:cNvSpPr>
      </xdr:nvSpPr>
      <xdr:spPr>
        <a:xfrm rot="10800000">
          <a:off x="7829550" y="15706725"/>
          <a:ext cx="1638300" cy="885825"/>
        </a:xfrm>
        <a:prstGeom prst="rightArrow">
          <a:avLst>
            <a:gd name="adj" fmla="val 23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77</xdr:row>
      <xdr:rowOff>180975</xdr:rowOff>
    </xdr:from>
    <xdr:to>
      <xdr:col>8</xdr:col>
      <xdr:colOff>352425</xdr:colOff>
      <xdr:row>77</xdr:row>
      <xdr:rowOff>409575</xdr:rowOff>
    </xdr:to>
    <xdr:sp>
      <xdr:nvSpPr>
        <xdr:cNvPr id="11" name="16 Flecha derecha"/>
        <xdr:cNvSpPr>
          <a:spLocks/>
        </xdr:cNvSpPr>
      </xdr:nvSpPr>
      <xdr:spPr>
        <a:xfrm rot="10800000">
          <a:off x="10858500" y="18126075"/>
          <a:ext cx="209550" cy="228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85</xdr:row>
      <xdr:rowOff>0</xdr:rowOff>
    </xdr:from>
    <xdr:to>
      <xdr:col>7</xdr:col>
      <xdr:colOff>0</xdr:colOff>
      <xdr:row>88</xdr:row>
      <xdr:rowOff>104775</xdr:rowOff>
    </xdr:to>
    <xdr:sp>
      <xdr:nvSpPr>
        <xdr:cNvPr id="12" name="4 Flecha derecha"/>
        <xdr:cNvSpPr>
          <a:spLocks/>
        </xdr:cNvSpPr>
      </xdr:nvSpPr>
      <xdr:spPr>
        <a:xfrm rot="10800000">
          <a:off x="7829550" y="20288250"/>
          <a:ext cx="1638300" cy="885825"/>
        </a:xfrm>
        <a:prstGeom prst="rightArrow">
          <a:avLst>
            <a:gd name="adj" fmla="val 23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40</xdr:row>
      <xdr:rowOff>180975</xdr:rowOff>
    </xdr:from>
    <xdr:to>
      <xdr:col>8</xdr:col>
      <xdr:colOff>352425</xdr:colOff>
      <xdr:row>40</xdr:row>
      <xdr:rowOff>409575</xdr:rowOff>
    </xdr:to>
    <xdr:sp>
      <xdr:nvSpPr>
        <xdr:cNvPr id="13" name="18 Flecha derecha"/>
        <xdr:cNvSpPr>
          <a:spLocks/>
        </xdr:cNvSpPr>
      </xdr:nvSpPr>
      <xdr:spPr>
        <a:xfrm rot="10800000">
          <a:off x="10858500" y="9286875"/>
          <a:ext cx="209550" cy="228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49</xdr:row>
      <xdr:rowOff>76200</xdr:rowOff>
    </xdr:from>
    <xdr:to>
      <xdr:col>6</xdr:col>
      <xdr:colOff>1066800</xdr:colOff>
      <xdr:row>53</xdr:row>
      <xdr:rowOff>85725</xdr:rowOff>
    </xdr:to>
    <xdr:sp>
      <xdr:nvSpPr>
        <xdr:cNvPr id="14" name="4 Flecha derecha"/>
        <xdr:cNvSpPr>
          <a:spLocks/>
        </xdr:cNvSpPr>
      </xdr:nvSpPr>
      <xdr:spPr>
        <a:xfrm rot="10800000">
          <a:off x="7829550" y="11296650"/>
          <a:ext cx="1628775" cy="942975"/>
        </a:xfrm>
        <a:prstGeom prst="rightArrow">
          <a:avLst>
            <a:gd name="adj" fmla="val 211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129</xdr:row>
      <xdr:rowOff>171450</xdr:rowOff>
    </xdr:from>
    <xdr:to>
      <xdr:col>5</xdr:col>
      <xdr:colOff>609600</xdr:colOff>
      <xdr:row>131</xdr:row>
      <xdr:rowOff>19050</xdr:rowOff>
    </xdr:to>
    <xdr:sp>
      <xdr:nvSpPr>
        <xdr:cNvPr id="15" name="21 Flecha derecha"/>
        <xdr:cNvSpPr>
          <a:spLocks/>
        </xdr:cNvSpPr>
      </xdr:nvSpPr>
      <xdr:spPr>
        <a:xfrm rot="10800000">
          <a:off x="7848600" y="31584900"/>
          <a:ext cx="209550" cy="3048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132</xdr:row>
      <xdr:rowOff>47625</xdr:rowOff>
    </xdr:from>
    <xdr:to>
      <xdr:col>6</xdr:col>
      <xdr:colOff>1047750</xdr:colOff>
      <xdr:row>135</xdr:row>
      <xdr:rowOff>38100</xdr:rowOff>
    </xdr:to>
    <xdr:sp>
      <xdr:nvSpPr>
        <xdr:cNvPr id="16" name="4 Flecha derecha"/>
        <xdr:cNvSpPr>
          <a:spLocks/>
        </xdr:cNvSpPr>
      </xdr:nvSpPr>
      <xdr:spPr>
        <a:xfrm rot="10800000">
          <a:off x="7839075" y="32146875"/>
          <a:ext cx="1600200" cy="809625"/>
        </a:xfrm>
        <a:prstGeom prst="rightArrow">
          <a:avLst>
            <a:gd name="adj" fmla="val 2470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47625</xdr:rowOff>
    </xdr:from>
    <xdr:to>
      <xdr:col>7</xdr:col>
      <xdr:colOff>276225</xdr:colOff>
      <xdr:row>3</xdr:row>
      <xdr:rowOff>476250</xdr:rowOff>
    </xdr:to>
    <xdr:sp>
      <xdr:nvSpPr>
        <xdr:cNvPr id="1" name="1 Flecha derecha"/>
        <xdr:cNvSpPr>
          <a:spLocks/>
        </xdr:cNvSpPr>
      </xdr:nvSpPr>
      <xdr:spPr>
        <a:xfrm flipH="1">
          <a:off x="9134475" y="2038350"/>
          <a:ext cx="247650" cy="4286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1</xdr:row>
      <xdr:rowOff>409575</xdr:rowOff>
    </xdr:from>
    <xdr:to>
      <xdr:col>3</xdr:col>
      <xdr:colOff>771525</xdr:colOff>
      <xdr:row>2</xdr:row>
      <xdr:rowOff>19050</xdr:rowOff>
    </xdr:to>
    <xdr:sp>
      <xdr:nvSpPr>
        <xdr:cNvPr id="2" name="1 Flecha derecha"/>
        <xdr:cNvSpPr>
          <a:spLocks/>
        </xdr:cNvSpPr>
      </xdr:nvSpPr>
      <xdr:spPr>
        <a:xfrm rot="16200000" flipH="1">
          <a:off x="4895850" y="1314450"/>
          <a:ext cx="457200" cy="2000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1238250</xdr:colOff>
      <xdr:row>30</xdr:row>
      <xdr:rowOff>0</xdr:rowOff>
    </xdr:to>
    <xdr:sp>
      <xdr:nvSpPr>
        <xdr:cNvPr id="3" name="1 Flecha derecha"/>
        <xdr:cNvSpPr>
          <a:spLocks/>
        </xdr:cNvSpPr>
      </xdr:nvSpPr>
      <xdr:spPr>
        <a:xfrm rot="5400000" flipH="1">
          <a:off x="7896225" y="8286750"/>
          <a:ext cx="552450" cy="24765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47625</xdr:rowOff>
    </xdr:from>
    <xdr:to>
      <xdr:col>7</xdr:col>
      <xdr:colOff>276225</xdr:colOff>
      <xdr:row>5</xdr:row>
      <xdr:rowOff>476250</xdr:rowOff>
    </xdr:to>
    <xdr:sp>
      <xdr:nvSpPr>
        <xdr:cNvPr id="4" name="1 Flecha derecha"/>
        <xdr:cNvSpPr>
          <a:spLocks/>
        </xdr:cNvSpPr>
      </xdr:nvSpPr>
      <xdr:spPr>
        <a:xfrm flipH="1">
          <a:off x="9134475" y="3028950"/>
          <a:ext cx="247650" cy="4286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47625</xdr:rowOff>
    </xdr:from>
    <xdr:to>
      <xdr:col>7</xdr:col>
      <xdr:colOff>276225</xdr:colOff>
      <xdr:row>7</xdr:row>
      <xdr:rowOff>476250</xdr:rowOff>
    </xdr:to>
    <xdr:sp>
      <xdr:nvSpPr>
        <xdr:cNvPr id="5" name="1 Flecha derecha"/>
        <xdr:cNvSpPr>
          <a:spLocks/>
        </xdr:cNvSpPr>
      </xdr:nvSpPr>
      <xdr:spPr>
        <a:xfrm flipH="1">
          <a:off x="9134475" y="4019550"/>
          <a:ext cx="247650" cy="4286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47625</xdr:rowOff>
    </xdr:from>
    <xdr:to>
      <xdr:col>7</xdr:col>
      <xdr:colOff>276225</xdr:colOff>
      <xdr:row>9</xdr:row>
      <xdr:rowOff>476250</xdr:rowOff>
    </xdr:to>
    <xdr:sp>
      <xdr:nvSpPr>
        <xdr:cNvPr id="6" name="1 Flecha derecha"/>
        <xdr:cNvSpPr>
          <a:spLocks/>
        </xdr:cNvSpPr>
      </xdr:nvSpPr>
      <xdr:spPr>
        <a:xfrm flipH="1">
          <a:off x="9134475" y="5010150"/>
          <a:ext cx="247650" cy="4286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47625</xdr:rowOff>
    </xdr:from>
    <xdr:to>
      <xdr:col>7</xdr:col>
      <xdr:colOff>276225</xdr:colOff>
      <xdr:row>11</xdr:row>
      <xdr:rowOff>476250</xdr:rowOff>
    </xdr:to>
    <xdr:sp>
      <xdr:nvSpPr>
        <xdr:cNvPr id="7" name="1 Flecha derecha"/>
        <xdr:cNvSpPr>
          <a:spLocks/>
        </xdr:cNvSpPr>
      </xdr:nvSpPr>
      <xdr:spPr>
        <a:xfrm flipH="1">
          <a:off x="9134475" y="6000750"/>
          <a:ext cx="247650" cy="4286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47625</xdr:rowOff>
    </xdr:from>
    <xdr:to>
      <xdr:col>7</xdr:col>
      <xdr:colOff>276225</xdr:colOff>
      <xdr:row>13</xdr:row>
      <xdr:rowOff>476250</xdr:rowOff>
    </xdr:to>
    <xdr:sp>
      <xdr:nvSpPr>
        <xdr:cNvPr id="8" name="1 Flecha derecha"/>
        <xdr:cNvSpPr>
          <a:spLocks/>
        </xdr:cNvSpPr>
      </xdr:nvSpPr>
      <xdr:spPr>
        <a:xfrm flipH="1">
          <a:off x="9134475" y="6991350"/>
          <a:ext cx="247650" cy="4286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</xdr:row>
      <xdr:rowOff>495300</xdr:rowOff>
    </xdr:from>
    <xdr:to>
      <xdr:col>8</xdr:col>
      <xdr:colOff>514350</xdr:colOff>
      <xdr:row>2</xdr:row>
      <xdr:rowOff>152400</xdr:rowOff>
    </xdr:to>
    <xdr:sp>
      <xdr:nvSpPr>
        <xdr:cNvPr id="1" name="1 Flecha derecha"/>
        <xdr:cNvSpPr>
          <a:spLocks/>
        </xdr:cNvSpPr>
      </xdr:nvSpPr>
      <xdr:spPr>
        <a:xfrm rot="16200000" flipH="1">
          <a:off x="8601075" y="1400175"/>
          <a:ext cx="552450" cy="24765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1</xdr:row>
      <xdr:rowOff>409575</xdr:rowOff>
    </xdr:from>
    <xdr:to>
      <xdr:col>3</xdr:col>
      <xdr:colOff>771525</xdr:colOff>
      <xdr:row>2</xdr:row>
      <xdr:rowOff>19050</xdr:rowOff>
    </xdr:to>
    <xdr:sp>
      <xdr:nvSpPr>
        <xdr:cNvPr id="2" name="1 Flecha derecha"/>
        <xdr:cNvSpPr>
          <a:spLocks/>
        </xdr:cNvSpPr>
      </xdr:nvSpPr>
      <xdr:spPr>
        <a:xfrm rot="16200000" flipH="1">
          <a:off x="4410075" y="1314450"/>
          <a:ext cx="457200" cy="2000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1238250</xdr:colOff>
      <xdr:row>30</xdr:row>
      <xdr:rowOff>0</xdr:rowOff>
    </xdr:to>
    <xdr:sp>
      <xdr:nvSpPr>
        <xdr:cNvPr id="3" name="1 Flecha derecha"/>
        <xdr:cNvSpPr>
          <a:spLocks/>
        </xdr:cNvSpPr>
      </xdr:nvSpPr>
      <xdr:spPr>
        <a:xfrm rot="5400000" flipH="1">
          <a:off x="7162800" y="7258050"/>
          <a:ext cx="552450" cy="24765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B1">
      <pane ySplit="4" topLeftCell="A57" activePane="bottomLeft" state="frozen"/>
      <selection pane="topLeft" activeCell="A1" sqref="A1"/>
      <selection pane="bottomLeft" activeCell="K63" sqref="K63"/>
    </sheetView>
  </sheetViews>
  <sheetFormatPr defaultColWidth="11.421875" defaultRowHeight="15"/>
  <cols>
    <col min="1" max="1" width="2.7109375" style="44" hidden="1" customWidth="1"/>
    <col min="2" max="2" width="13.00390625" style="44" customWidth="1"/>
    <col min="3" max="6" width="11.421875" style="44" customWidth="1"/>
    <col min="7" max="7" width="9.8515625" style="44" customWidth="1"/>
    <col min="8" max="8" width="27.140625" style="44" customWidth="1"/>
    <col min="9" max="9" width="6.57421875" style="44" customWidth="1"/>
    <col min="10" max="10" width="8.00390625" style="44" bestFit="1" customWidth="1"/>
    <col min="11" max="11" width="12.28125" style="44" customWidth="1"/>
    <col min="12" max="12" width="19.28125" style="44" customWidth="1"/>
    <col min="13" max="13" width="9.421875" style="44" customWidth="1"/>
    <col min="14" max="14" width="1.1484375" style="44" customWidth="1"/>
    <col min="15" max="19" width="10.140625" style="44" customWidth="1"/>
    <col min="20" max="16384" width="11.421875" style="44" customWidth="1"/>
  </cols>
  <sheetData>
    <row r="1" spans="2:13" ht="22.5" customHeight="1">
      <c r="B1" s="45" t="s">
        <v>14</v>
      </c>
      <c r="C1" s="46"/>
      <c r="D1" s="46"/>
      <c r="E1" s="46"/>
      <c r="F1" s="238"/>
      <c r="G1" s="46"/>
      <c r="H1" s="47"/>
      <c r="I1" s="47"/>
      <c r="J1" s="48"/>
      <c r="K1" s="395" t="s">
        <v>71</v>
      </c>
      <c r="L1" s="396"/>
      <c r="M1" s="49"/>
    </row>
    <row r="2" spans="2:13" ht="22.5" customHeight="1" thickBot="1">
      <c r="B2" s="50" t="s">
        <v>38</v>
      </c>
      <c r="C2" s="51">
        <v>9840</v>
      </c>
      <c r="D2" s="52"/>
      <c r="E2" s="52"/>
      <c r="F2" s="52"/>
      <c r="G2" s="52"/>
      <c r="H2" s="52"/>
      <c r="I2" s="52"/>
      <c r="J2" s="53"/>
      <c r="K2" s="397"/>
      <c r="L2" s="398"/>
      <c r="M2" s="49"/>
    </row>
    <row r="3" spans="2:13" ht="6" customHeight="1" thickBot="1">
      <c r="B3" s="54"/>
      <c r="C3" s="54"/>
      <c r="D3" s="54"/>
      <c r="E3" s="54"/>
      <c r="F3" s="54"/>
      <c r="G3" s="54"/>
      <c r="H3" s="54"/>
      <c r="I3" s="54"/>
      <c r="J3" s="54"/>
      <c r="M3" s="49"/>
    </row>
    <row r="4" spans="1:13" ht="33" customHeight="1" thickBot="1">
      <c r="A4" s="44" t="s">
        <v>55</v>
      </c>
      <c r="B4" s="399" t="s">
        <v>48</v>
      </c>
      <c r="C4" s="400"/>
      <c r="D4" s="400"/>
      <c r="E4" s="400"/>
      <c r="F4" s="400"/>
      <c r="G4" s="400"/>
      <c r="H4" s="400"/>
      <c r="I4" s="55" t="s">
        <v>56</v>
      </c>
      <c r="J4" s="55" t="s">
        <v>49</v>
      </c>
      <c r="K4" s="55" t="s">
        <v>50</v>
      </c>
      <c r="L4" s="56" t="s">
        <v>40</v>
      </c>
      <c r="M4" s="57"/>
    </row>
    <row r="5" spans="2:13" ht="6" customHeight="1" thickBot="1" thickTop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9" ht="19.5" customHeight="1" thickTop="1">
      <c r="A6" s="60" t="e">
        <f>+IF(L6+#REF!&gt;0,1,0)</f>
        <v>#REF!</v>
      </c>
      <c r="B6" s="61" t="s">
        <v>37</v>
      </c>
      <c r="C6" s="62"/>
      <c r="D6" s="62"/>
      <c r="E6" s="62"/>
      <c r="F6" s="62"/>
      <c r="G6" s="62"/>
      <c r="H6" s="63"/>
      <c r="I6" s="132">
        <v>0.6</v>
      </c>
      <c r="J6" s="133">
        <f aca="true" t="shared" si="0" ref="J6:J11">I6*$C$2</f>
        <v>5904</v>
      </c>
      <c r="K6" s="64"/>
      <c r="L6" s="153">
        <f aca="true" t="shared" si="1" ref="L6:L14">(J6*K6)</f>
        <v>0</v>
      </c>
      <c r="M6" s="404" t="s">
        <v>0</v>
      </c>
      <c r="N6" s="65"/>
      <c r="O6" s="369" t="s">
        <v>111</v>
      </c>
      <c r="P6" s="370"/>
      <c r="Q6" s="370"/>
      <c r="R6" s="370"/>
      <c r="S6" s="371"/>
    </row>
    <row r="7" spans="1:19" ht="19.5" customHeight="1">
      <c r="A7" s="66" t="e">
        <f>+IF(L7+#REF!&gt;0,1,0)</f>
        <v>#REF!</v>
      </c>
      <c r="B7" s="67" t="s">
        <v>1</v>
      </c>
      <c r="C7" s="68"/>
      <c r="D7" s="68"/>
      <c r="E7" s="68"/>
      <c r="F7" s="68"/>
      <c r="G7" s="68"/>
      <c r="H7" s="69"/>
      <c r="I7" s="134">
        <v>0.7</v>
      </c>
      <c r="J7" s="135">
        <f t="shared" si="0"/>
        <v>6888</v>
      </c>
      <c r="K7" s="70"/>
      <c r="L7" s="154">
        <f t="shared" si="1"/>
        <v>0</v>
      </c>
      <c r="M7" s="405"/>
      <c r="N7" s="65"/>
      <c r="O7" s="372"/>
      <c r="P7" s="373"/>
      <c r="Q7" s="373"/>
      <c r="R7" s="373"/>
      <c r="S7" s="374"/>
    </row>
    <row r="8" spans="1:19" ht="19.5" customHeight="1">
      <c r="A8" s="71" t="e">
        <f>+IF(L8+#REF!&gt;0,1,0)</f>
        <v>#REF!</v>
      </c>
      <c r="B8" s="67" t="s">
        <v>2</v>
      </c>
      <c r="C8" s="68"/>
      <c r="D8" s="68"/>
      <c r="E8" s="68"/>
      <c r="F8" s="68"/>
      <c r="G8" s="68"/>
      <c r="H8" s="69"/>
      <c r="I8" s="136">
        <v>0.8</v>
      </c>
      <c r="J8" s="137">
        <f t="shared" si="0"/>
        <v>7872</v>
      </c>
      <c r="K8" s="72"/>
      <c r="L8" s="154">
        <f t="shared" si="1"/>
        <v>0</v>
      </c>
      <c r="M8" s="405"/>
      <c r="N8" s="65"/>
      <c r="O8" s="372"/>
      <c r="P8" s="373"/>
      <c r="Q8" s="373"/>
      <c r="R8" s="373"/>
      <c r="S8" s="374"/>
    </row>
    <row r="9" spans="1:19" ht="19.5" customHeight="1">
      <c r="A9" s="73" t="e">
        <f>+IF(L9+#REF!&gt;0,1,0)</f>
        <v>#REF!</v>
      </c>
      <c r="B9" s="67" t="s">
        <v>3</v>
      </c>
      <c r="C9" s="68"/>
      <c r="D9" s="68"/>
      <c r="E9" s="68"/>
      <c r="F9" s="68"/>
      <c r="G9" s="68"/>
      <c r="H9" s="69"/>
      <c r="I9" s="136">
        <v>0.9</v>
      </c>
      <c r="J9" s="137">
        <f t="shared" si="0"/>
        <v>8856</v>
      </c>
      <c r="K9" s="72"/>
      <c r="L9" s="154">
        <f t="shared" si="1"/>
        <v>0</v>
      </c>
      <c r="M9" s="405"/>
      <c r="N9" s="65"/>
      <c r="O9" s="372"/>
      <c r="P9" s="373"/>
      <c r="Q9" s="373"/>
      <c r="R9" s="373"/>
      <c r="S9" s="374"/>
    </row>
    <row r="10" spans="1:19" ht="19.5" customHeight="1">
      <c r="A10" s="73"/>
      <c r="B10" s="67" t="s">
        <v>57</v>
      </c>
      <c r="C10" s="68"/>
      <c r="D10" s="68"/>
      <c r="E10" s="68"/>
      <c r="F10" s="68"/>
      <c r="G10" s="68"/>
      <c r="H10" s="69"/>
      <c r="I10" s="136">
        <v>1.2</v>
      </c>
      <c r="J10" s="137">
        <f>I10*$C$2</f>
        <v>11808</v>
      </c>
      <c r="K10" s="72"/>
      <c r="L10" s="154">
        <f t="shared" si="1"/>
        <v>0</v>
      </c>
      <c r="M10" s="405"/>
      <c r="N10" s="65"/>
      <c r="O10" s="372"/>
      <c r="P10" s="373"/>
      <c r="Q10" s="373"/>
      <c r="R10" s="373"/>
      <c r="S10" s="374"/>
    </row>
    <row r="11" spans="1:19" ht="19.5" customHeight="1">
      <c r="A11" s="73" t="e">
        <f>+IF(L11+#REF!&gt;0,1,0)</f>
        <v>#REF!</v>
      </c>
      <c r="B11" s="67" t="s">
        <v>58</v>
      </c>
      <c r="C11" s="68"/>
      <c r="D11" s="68"/>
      <c r="E11" s="68"/>
      <c r="F11" s="68"/>
      <c r="G11" s="68"/>
      <c r="H11" s="69"/>
      <c r="I11" s="136">
        <v>1.4</v>
      </c>
      <c r="J11" s="137">
        <f t="shared" si="0"/>
        <v>13776</v>
      </c>
      <c r="K11" s="72"/>
      <c r="L11" s="154">
        <f t="shared" si="1"/>
        <v>0</v>
      </c>
      <c r="M11" s="405"/>
      <c r="N11" s="65"/>
      <c r="O11" s="372"/>
      <c r="P11" s="373"/>
      <c r="Q11" s="373"/>
      <c r="R11" s="373"/>
      <c r="S11" s="374"/>
    </row>
    <row r="12" spans="1:19" ht="19.5" customHeight="1" thickBot="1">
      <c r="A12" s="74"/>
      <c r="B12" s="75" t="s">
        <v>59</v>
      </c>
      <c r="C12" s="76"/>
      <c r="D12" s="76"/>
      <c r="E12" s="76"/>
      <c r="F12" s="76"/>
      <c r="G12" s="76"/>
      <c r="H12" s="77"/>
      <c r="I12" s="138">
        <v>0.66</v>
      </c>
      <c r="J12" s="139">
        <f>I12*$C$2</f>
        <v>6494.400000000001</v>
      </c>
      <c r="K12" s="78"/>
      <c r="L12" s="154">
        <f t="shared" si="1"/>
        <v>0</v>
      </c>
      <c r="M12" s="405"/>
      <c r="N12" s="65"/>
      <c r="O12" s="372"/>
      <c r="P12" s="373"/>
      <c r="Q12" s="373"/>
      <c r="R12" s="373"/>
      <c r="S12" s="374"/>
    </row>
    <row r="13" spans="1:19" ht="19.5" customHeight="1" thickBot="1">
      <c r="A13" s="74"/>
      <c r="B13" s="75" t="s">
        <v>60</v>
      </c>
      <c r="C13" s="76"/>
      <c r="D13" s="76"/>
      <c r="E13" s="76"/>
      <c r="F13" s="76"/>
      <c r="G13" s="76"/>
      <c r="H13" s="77"/>
      <c r="I13" s="138">
        <v>0.05</v>
      </c>
      <c r="J13" s="139">
        <f>I13*$C$2</f>
        <v>492</v>
      </c>
      <c r="K13" s="78"/>
      <c r="L13" s="155">
        <f t="shared" si="1"/>
        <v>0</v>
      </c>
      <c r="M13" s="405"/>
      <c r="N13" s="65"/>
      <c r="O13" s="372"/>
      <c r="P13" s="373"/>
      <c r="Q13" s="373"/>
      <c r="R13" s="373"/>
      <c r="S13" s="374"/>
    </row>
    <row r="14" spans="1:19" ht="19.5" customHeight="1" thickBot="1">
      <c r="A14" s="79" t="e">
        <f>+IF(L14+#REF!&gt;0,1,0)</f>
        <v>#REF!</v>
      </c>
      <c r="B14" s="378" t="s">
        <v>61</v>
      </c>
      <c r="C14" s="379"/>
      <c r="D14" s="379"/>
      <c r="E14" s="379"/>
      <c r="F14" s="379"/>
      <c r="G14" s="379"/>
      <c r="H14" s="380"/>
      <c r="I14" s="80"/>
      <c r="J14" s="81"/>
      <c r="K14" s="82"/>
      <c r="L14" s="156">
        <f t="shared" si="1"/>
        <v>0</v>
      </c>
      <c r="M14" s="406"/>
      <c r="N14" s="65"/>
      <c r="O14" s="375"/>
      <c r="P14" s="376"/>
      <c r="Q14" s="376"/>
      <c r="R14" s="376"/>
      <c r="S14" s="377"/>
    </row>
    <row r="15" spans="1:21" ht="19.5" customHeight="1" thickTop="1">
      <c r="A15" s="71" t="e">
        <f>+IF(L15+#REF!&gt;0,1,0)</f>
        <v>#REF!</v>
      </c>
      <c r="B15" s="83" t="s">
        <v>5</v>
      </c>
      <c r="C15" s="84"/>
      <c r="D15" s="84"/>
      <c r="E15" s="84"/>
      <c r="F15" s="84"/>
      <c r="G15" s="84"/>
      <c r="H15" s="85"/>
      <c r="I15" s="140">
        <v>1</v>
      </c>
      <c r="J15" s="141">
        <f aca="true" t="shared" si="2" ref="J15:J25">I15*$C$2</f>
        <v>9840</v>
      </c>
      <c r="K15" s="86"/>
      <c r="L15" s="157">
        <f aca="true" t="shared" si="3" ref="L15:L25">(J15*K15)</f>
        <v>0</v>
      </c>
      <c r="M15" s="387" t="s">
        <v>4</v>
      </c>
      <c r="N15" s="87"/>
      <c r="O15" s="384" t="s">
        <v>112</v>
      </c>
      <c r="P15" s="384"/>
      <c r="Q15" s="384"/>
      <c r="R15" s="384"/>
      <c r="S15" s="384"/>
      <c r="T15" s="88"/>
      <c r="U15" s="88"/>
    </row>
    <row r="16" spans="1:21" ht="19.5" customHeight="1">
      <c r="A16" s="73" t="e">
        <f>+IF(L16+#REF!&gt;0,1,0)</f>
        <v>#REF!</v>
      </c>
      <c r="B16" s="67" t="s">
        <v>6</v>
      </c>
      <c r="C16" s="68"/>
      <c r="D16" s="68"/>
      <c r="E16" s="68"/>
      <c r="F16" s="68"/>
      <c r="G16" s="68"/>
      <c r="H16" s="69"/>
      <c r="I16" s="136">
        <v>1.1</v>
      </c>
      <c r="J16" s="137">
        <f t="shared" si="2"/>
        <v>10824</v>
      </c>
      <c r="K16" s="72"/>
      <c r="L16" s="158">
        <f t="shared" si="3"/>
        <v>0</v>
      </c>
      <c r="M16" s="388"/>
      <c r="N16" s="87"/>
      <c r="O16" s="385"/>
      <c r="P16" s="385"/>
      <c r="Q16" s="385"/>
      <c r="R16" s="385"/>
      <c r="S16" s="385"/>
      <c r="T16" s="88"/>
      <c r="U16" s="88"/>
    </row>
    <row r="17" spans="1:21" ht="19.5" customHeight="1">
      <c r="A17" s="73" t="e">
        <f>+IF(L17+#REF!&gt;0,1,0)</f>
        <v>#REF!</v>
      </c>
      <c r="B17" s="67" t="s">
        <v>7</v>
      </c>
      <c r="C17" s="68"/>
      <c r="D17" s="68"/>
      <c r="E17" s="68"/>
      <c r="F17" s="68"/>
      <c r="G17" s="68"/>
      <c r="H17" s="69"/>
      <c r="I17" s="136">
        <v>1.2</v>
      </c>
      <c r="J17" s="137">
        <f t="shared" si="2"/>
        <v>11808</v>
      </c>
      <c r="K17" s="72"/>
      <c r="L17" s="158">
        <f t="shared" si="3"/>
        <v>0</v>
      </c>
      <c r="M17" s="388"/>
      <c r="N17" s="87"/>
      <c r="O17" s="385"/>
      <c r="P17" s="385"/>
      <c r="Q17" s="385"/>
      <c r="R17" s="385"/>
      <c r="S17" s="385"/>
      <c r="T17" s="88"/>
      <c r="U17" s="88"/>
    </row>
    <row r="18" spans="1:21" ht="19.5" customHeight="1">
      <c r="A18" s="73" t="e">
        <f>+IF(L18+#REF!&gt;0,1,0)</f>
        <v>#REF!</v>
      </c>
      <c r="B18" s="67" t="s">
        <v>8</v>
      </c>
      <c r="C18" s="68"/>
      <c r="D18" s="68"/>
      <c r="E18" s="68"/>
      <c r="F18" s="68"/>
      <c r="G18" s="68"/>
      <c r="H18" s="69"/>
      <c r="I18" s="136">
        <v>1.3</v>
      </c>
      <c r="J18" s="137">
        <f t="shared" si="2"/>
        <v>12792</v>
      </c>
      <c r="K18" s="72"/>
      <c r="L18" s="158">
        <f t="shared" si="3"/>
        <v>0</v>
      </c>
      <c r="M18" s="388"/>
      <c r="N18" s="87"/>
      <c r="O18" s="385"/>
      <c r="P18" s="385"/>
      <c r="Q18" s="385"/>
      <c r="R18" s="385"/>
      <c r="S18" s="385"/>
      <c r="T18" s="88"/>
      <c r="U18" s="88"/>
    </row>
    <row r="19" spans="1:19" ht="19.5" customHeight="1">
      <c r="A19" s="74" t="e">
        <f>+IF(L19+#REF!&gt;0,1,0)</f>
        <v>#REF!</v>
      </c>
      <c r="B19" s="381" t="s">
        <v>62</v>
      </c>
      <c r="C19" s="382"/>
      <c r="D19" s="382"/>
      <c r="E19" s="382"/>
      <c r="F19" s="382"/>
      <c r="G19" s="382"/>
      <c r="H19" s="382"/>
      <c r="I19" s="142">
        <v>0.05</v>
      </c>
      <c r="J19" s="137">
        <f t="shared" si="2"/>
        <v>492</v>
      </c>
      <c r="K19" s="78"/>
      <c r="L19" s="159">
        <f t="shared" si="3"/>
        <v>0</v>
      </c>
      <c r="M19" s="388"/>
      <c r="N19" s="87"/>
      <c r="O19" s="385"/>
      <c r="P19" s="385"/>
      <c r="Q19" s="385"/>
      <c r="R19" s="385"/>
      <c r="S19" s="385"/>
    </row>
    <row r="20" spans="1:19" ht="19.5" customHeight="1" thickBot="1">
      <c r="A20" s="89"/>
      <c r="B20" s="90" t="s">
        <v>63</v>
      </c>
      <c r="C20" s="91"/>
      <c r="D20" s="91"/>
      <c r="E20" s="91"/>
      <c r="F20" s="91"/>
      <c r="G20" s="91"/>
      <c r="H20" s="91"/>
      <c r="I20" s="92"/>
      <c r="J20" s="93"/>
      <c r="K20" s="82"/>
      <c r="L20" s="160">
        <f t="shared" si="3"/>
        <v>0</v>
      </c>
      <c r="M20" s="389"/>
      <c r="N20" s="87"/>
      <c r="O20" s="386"/>
      <c r="P20" s="386"/>
      <c r="Q20" s="386"/>
      <c r="R20" s="386"/>
      <c r="S20" s="386"/>
    </row>
    <row r="21" spans="1:19" ht="19.5" customHeight="1" thickTop="1">
      <c r="A21" s="60" t="e">
        <f>+IF(L21+#REF!&gt;0,1,0)</f>
        <v>#REF!</v>
      </c>
      <c r="B21" s="94" t="s">
        <v>10</v>
      </c>
      <c r="C21" s="95"/>
      <c r="D21" s="95"/>
      <c r="E21" s="95"/>
      <c r="F21" s="95"/>
      <c r="G21" s="95"/>
      <c r="H21" s="96"/>
      <c r="I21" s="140">
        <v>1.1</v>
      </c>
      <c r="J21" s="141">
        <f t="shared" si="2"/>
        <v>10824</v>
      </c>
      <c r="K21" s="86"/>
      <c r="L21" s="161">
        <f t="shared" si="3"/>
        <v>0</v>
      </c>
      <c r="M21" s="366" t="s">
        <v>9</v>
      </c>
      <c r="N21" s="97"/>
      <c r="O21" s="369" t="s">
        <v>110</v>
      </c>
      <c r="P21" s="370"/>
      <c r="Q21" s="370"/>
      <c r="R21" s="370"/>
      <c r="S21" s="371"/>
    </row>
    <row r="22" spans="1:19" ht="19.5" customHeight="1">
      <c r="A22" s="73" t="e">
        <f>+IF(L22+#REF!&gt;0,1,0)</f>
        <v>#REF!</v>
      </c>
      <c r="B22" s="98" t="s">
        <v>64</v>
      </c>
      <c r="C22" s="99"/>
      <c r="D22" s="99"/>
      <c r="E22" s="99"/>
      <c r="F22" s="99"/>
      <c r="G22" s="99"/>
      <c r="H22" s="100"/>
      <c r="I22" s="136">
        <v>1.15</v>
      </c>
      <c r="J22" s="137">
        <f t="shared" si="2"/>
        <v>11316</v>
      </c>
      <c r="K22" s="72"/>
      <c r="L22" s="162">
        <f t="shared" si="3"/>
        <v>0</v>
      </c>
      <c r="M22" s="367"/>
      <c r="N22" s="97"/>
      <c r="O22" s="372"/>
      <c r="P22" s="373"/>
      <c r="Q22" s="373"/>
      <c r="R22" s="373"/>
      <c r="S22" s="374"/>
    </row>
    <row r="23" spans="1:19" ht="19.5" customHeight="1">
      <c r="A23" s="73" t="e">
        <f>+IF(L23+#REF!&gt;0,1,0)</f>
        <v>#REF!</v>
      </c>
      <c r="B23" s="98" t="s">
        <v>11</v>
      </c>
      <c r="C23" s="99"/>
      <c r="D23" s="99"/>
      <c r="E23" s="99"/>
      <c r="F23" s="99"/>
      <c r="G23" s="99"/>
      <c r="H23" s="100"/>
      <c r="I23" s="136">
        <v>1.5</v>
      </c>
      <c r="J23" s="137">
        <f t="shared" si="2"/>
        <v>14760</v>
      </c>
      <c r="K23" s="72"/>
      <c r="L23" s="162">
        <f t="shared" si="3"/>
        <v>0</v>
      </c>
      <c r="M23" s="367"/>
      <c r="N23" s="97"/>
      <c r="O23" s="372"/>
      <c r="P23" s="373"/>
      <c r="Q23" s="373"/>
      <c r="R23" s="373"/>
      <c r="S23" s="374"/>
    </row>
    <row r="24" spans="1:19" ht="19.5" customHeight="1">
      <c r="A24" s="73" t="e">
        <f>+IF(L24+#REF!&gt;0,1,0)</f>
        <v>#REF!</v>
      </c>
      <c r="B24" s="98" t="s">
        <v>12</v>
      </c>
      <c r="C24" s="99"/>
      <c r="D24" s="99"/>
      <c r="E24" s="99"/>
      <c r="F24" s="99"/>
      <c r="G24" s="99"/>
      <c r="H24" s="100"/>
      <c r="I24" s="136">
        <v>1.4</v>
      </c>
      <c r="J24" s="137">
        <f t="shared" si="2"/>
        <v>13776</v>
      </c>
      <c r="K24" s="72"/>
      <c r="L24" s="162">
        <f t="shared" si="3"/>
        <v>0</v>
      </c>
      <c r="M24" s="367"/>
      <c r="N24" s="97"/>
      <c r="O24" s="372"/>
      <c r="P24" s="373"/>
      <c r="Q24" s="373"/>
      <c r="R24" s="373"/>
      <c r="S24" s="374"/>
    </row>
    <row r="25" spans="1:19" ht="19.5" customHeight="1" thickBot="1">
      <c r="A25" s="79" t="e">
        <f>+IF(L25+#REF!&gt;0,1,0)</f>
        <v>#REF!</v>
      </c>
      <c r="B25" s="381" t="s">
        <v>13</v>
      </c>
      <c r="C25" s="382"/>
      <c r="D25" s="382"/>
      <c r="E25" s="382"/>
      <c r="F25" s="382"/>
      <c r="G25" s="382"/>
      <c r="H25" s="383"/>
      <c r="I25" s="136">
        <v>1.6</v>
      </c>
      <c r="J25" s="137">
        <f t="shared" si="2"/>
        <v>15744</v>
      </c>
      <c r="K25" s="78"/>
      <c r="L25" s="159">
        <f t="shared" si="3"/>
        <v>0</v>
      </c>
      <c r="M25" s="367"/>
      <c r="N25" s="97"/>
      <c r="O25" s="372"/>
      <c r="P25" s="373"/>
      <c r="Q25" s="373"/>
      <c r="R25" s="373"/>
      <c r="S25" s="374"/>
    </row>
    <row r="26" spans="1:19" ht="19.5" customHeight="1" thickBot="1">
      <c r="A26" s="89"/>
      <c r="B26" s="90" t="s">
        <v>63</v>
      </c>
      <c r="C26" s="91"/>
      <c r="D26" s="91"/>
      <c r="E26" s="91"/>
      <c r="F26" s="91"/>
      <c r="G26" s="91"/>
      <c r="H26" s="258"/>
      <c r="I26" s="257"/>
      <c r="J26" s="93"/>
      <c r="K26" s="82"/>
      <c r="L26" s="160">
        <f>(J26*K26)</f>
        <v>0</v>
      </c>
      <c r="M26" s="368"/>
      <c r="O26" s="375"/>
      <c r="P26" s="376"/>
      <c r="Q26" s="376"/>
      <c r="R26" s="376"/>
      <c r="S26" s="377"/>
    </row>
    <row r="27" spans="1:23" ht="19.5" customHeight="1" thickTop="1">
      <c r="A27" s="60" t="e">
        <f>+IF(L27+#REF!&gt;0,1,0)</f>
        <v>#REF!</v>
      </c>
      <c r="B27" s="83" t="s">
        <v>15</v>
      </c>
      <c r="C27" s="84"/>
      <c r="D27" s="84"/>
      <c r="E27" s="84"/>
      <c r="F27" s="84"/>
      <c r="G27" s="84"/>
      <c r="H27" s="85"/>
      <c r="I27" s="143">
        <v>0.4</v>
      </c>
      <c r="J27" s="144">
        <f>I27*'Monto de Obra'!$C$2</f>
        <v>3936</v>
      </c>
      <c r="K27" s="86"/>
      <c r="L27" s="161">
        <f aca="true" t="shared" si="4" ref="L27:L36">(J27*K27)</f>
        <v>0</v>
      </c>
      <c r="M27" s="391" t="s">
        <v>18</v>
      </c>
      <c r="N27" s="97"/>
      <c r="O27" s="353" t="s">
        <v>108</v>
      </c>
      <c r="P27" s="354"/>
      <c r="Q27" s="354"/>
      <c r="R27" s="354"/>
      <c r="S27" s="355"/>
      <c r="T27" s="105"/>
      <c r="U27" s="105"/>
      <c r="V27" s="105"/>
      <c r="W27" s="105"/>
    </row>
    <row r="28" spans="1:19" ht="19.5" customHeight="1">
      <c r="A28" s="73" t="e">
        <f>+IF(L28+#REF!&gt;0,1,0)</f>
        <v>#REF!</v>
      </c>
      <c r="B28" s="67" t="s">
        <v>100</v>
      </c>
      <c r="C28" s="68"/>
      <c r="D28" s="68"/>
      <c r="E28" s="68"/>
      <c r="F28" s="68"/>
      <c r="G28" s="68"/>
      <c r="H28" s="69"/>
      <c r="I28" s="134">
        <v>0.5</v>
      </c>
      <c r="J28" s="135">
        <f>I28*'Monto de Obra'!$C$2</f>
        <v>4920</v>
      </c>
      <c r="K28" s="72"/>
      <c r="L28" s="162">
        <f t="shared" si="4"/>
        <v>0</v>
      </c>
      <c r="M28" s="393"/>
      <c r="N28" s="97"/>
      <c r="O28" s="356"/>
      <c r="P28" s="357"/>
      <c r="Q28" s="357"/>
      <c r="R28" s="357"/>
      <c r="S28" s="358"/>
    </row>
    <row r="29" spans="1:19" ht="19.5" customHeight="1">
      <c r="A29" s="73" t="e">
        <f>+IF(L29+#REF!&gt;0,1,0)</f>
        <v>#REF!</v>
      </c>
      <c r="B29" s="67" t="s">
        <v>101</v>
      </c>
      <c r="C29" s="68"/>
      <c r="D29" s="68"/>
      <c r="E29" s="68"/>
      <c r="F29" s="68"/>
      <c r="G29" s="68"/>
      <c r="H29" s="69"/>
      <c r="I29" s="134">
        <v>0.8</v>
      </c>
      <c r="J29" s="135">
        <f>I29*'Monto de Obra'!$C$2</f>
        <v>7872</v>
      </c>
      <c r="K29" s="72"/>
      <c r="L29" s="162">
        <f t="shared" si="4"/>
        <v>0</v>
      </c>
      <c r="M29" s="393"/>
      <c r="N29" s="97"/>
      <c r="O29" s="356"/>
      <c r="P29" s="357"/>
      <c r="Q29" s="357"/>
      <c r="R29" s="357"/>
      <c r="S29" s="358"/>
    </row>
    <row r="30" spans="1:19" ht="19.5" customHeight="1">
      <c r="A30" s="73" t="e">
        <f>+IF(L30+#REF!&gt;0,1,0)</f>
        <v>#REF!</v>
      </c>
      <c r="B30" s="67" t="s">
        <v>102</v>
      </c>
      <c r="C30" s="68"/>
      <c r="D30" s="68"/>
      <c r="E30" s="68"/>
      <c r="F30" s="68"/>
      <c r="G30" s="68"/>
      <c r="H30" s="69"/>
      <c r="I30" s="134">
        <v>0.9</v>
      </c>
      <c r="J30" s="135">
        <f>I30*'Monto de Obra'!$C$2</f>
        <v>8856</v>
      </c>
      <c r="K30" s="72"/>
      <c r="L30" s="162">
        <f t="shared" si="4"/>
        <v>0</v>
      </c>
      <c r="M30" s="393"/>
      <c r="N30" s="97"/>
      <c r="O30" s="356"/>
      <c r="P30" s="357"/>
      <c r="Q30" s="357"/>
      <c r="R30" s="357"/>
      <c r="S30" s="358"/>
    </row>
    <row r="31" spans="1:19" ht="19.5" customHeight="1" thickBot="1">
      <c r="A31" s="73" t="e">
        <f>+IF(L31+#REF!&gt;0,1,0)</f>
        <v>#REF!</v>
      </c>
      <c r="B31" s="67" t="s">
        <v>16</v>
      </c>
      <c r="C31" s="68"/>
      <c r="D31" s="68"/>
      <c r="E31" s="68"/>
      <c r="F31" s="68"/>
      <c r="G31" s="68"/>
      <c r="H31" s="69"/>
      <c r="I31" s="134">
        <v>0.9</v>
      </c>
      <c r="J31" s="135">
        <f>I31*'Monto de Obra'!$C$2</f>
        <v>8856</v>
      </c>
      <c r="K31" s="72"/>
      <c r="L31" s="162">
        <f t="shared" si="4"/>
        <v>0</v>
      </c>
      <c r="M31" s="393"/>
      <c r="N31" s="97"/>
      <c r="O31" s="359"/>
      <c r="P31" s="360"/>
      <c r="Q31" s="360"/>
      <c r="R31" s="360"/>
      <c r="S31" s="361"/>
    </row>
    <row r="32" spans="1:19" ht="19.5" customHeight="1">
      <c r="A32" s="73" t="e">
        <f>+IF(L32+#REF!&gt;0,1,0)</f>
        <v>#REF!</v>
      </c>
      <c r="B32" s="67" t="s">
        <v>103</v>
      </c>
      <c r="C32" s="68"/>
      <c r="D32" s="68"/>
      <c r="E32" s="68"/>
      <c r="F32" s="68"/>
      <c r="G32" s="68"/>
      <c r="H32" s="69"/>
      <c r="I32" s="134">
        <v>0.3</v>
      </c>
      <c r="J32" s="135">
        <f>I32*'Monto de Obra'!$C$2</f>
        <v>2952</v>
      </c>
      <c r="K32" s="72"/>
      <c r="L32" s="162">
        <f t="shared" si="4"/>
        <v>0</v>
      </c>
      <c r="M32" s="393"/>
      <c r="N32" s="97"/>
      <c r="O32" s="362" t="s">
        <v>109</v>
      </c>
      <c r="P32" s="363"/>
      <c r="Q32" s="363"/>
      <c r="R32" s="363"/>
      <c r="S32" s="363"/>
    </row>
    <row r="33" spans="1:19" ht="19.5" customHeight="1">
      <c r="A33" s="73" t="e">
        <f>+IF(L33+#REF!&gt;0,1,0)</f>
        <v>#REF!</v>
      </c>
      <c r="B33" s="67" t="s">
        <v>104</v>
      </c>
      <c r="C33" s="68"/>
      <c r="D33" s="68"/>
      <c r="E33" s="68"/>
      <c r="F33" s="68"/>
      <c r="G33" s="68"/>
      <c r="H33" s="69"/>
      <c r="I33" s="134">
        <v>0.8</v>
      </c>
      <c r="J33" s="135">
        <f>I33*'Monto de Obra'!$C$2</f>
        <v>7872</v>
      </c>
      <c r="K33" s="72"/>
      <c r="L33" s="162">
        <f t="shared" si="4"/>
        <v>0</v>
      </c>
      <c r="M33" s="393"/>
      <c r="N33" s="97"/>
      <c r="O33" s="362"/>
      <c r="P33" s="363"/>
      <c r="Q33" s="363"/>
      <c r="R33" s="363"/>
      <c r="S33" s="363"/>
    </row>
    <row r="34" spans="1:19" ht="19.5" customHeight="1">
      <c r="A34" s="73" t="e">
        <f>+IF(L34+#REF!&gt;0,1,0)</f>
        <v>#REF!</v>
      </c>
      <c r="B34" s="67" t="s">
        <v>105</v>
      </c>
      <c r="C34" s="68"/>
      <c r="D34" s="68"/>
      <c r="E34" s="68"/>
      <c r="F34" s="68"/>
      <c r="G34" s="68"/>
      <c r="H34" s="69"/>
      <c r="I34" s="134">
        <v>0.9</v>
      </c>
      <c r="J34" s="135">
        <f>I34*'Monto de Obra'!$C$2</f>
        <v>8856</v>
      </c>
      <c r="K34" s="72"/>
      <c r="L34" s="162">
        <f t="shared" si="4"/>
        <v>0</v>
      </c>
      <c r="M34" s="393"/>
      <c r="N34" s="97"/>
      <c r="O34" s="362"/>
      <c r="P34" s="363"/>
      <c r="Q34" s="363"/>
      <c r="R34" s="363"/>
      <c r="S34" s="363"/>
    </row>
    <row r="35" spans="1:19" ht="19.5" customHeight="1">
      <c r="A35" s="73" t="e">
        <f>+IF(L35+#REF!&gt;0,1,0)</f>
        <v>#REF!</v>
      </c>
      <c r="B35" s="67" t="s">
        <v>106</v>
      </c>
      <c r="C35" s="68"/>
      <c r="D35" s="68"/>
      <c r="E35" s="68"/>
      <c r="F35" s="68"/>
      <c r="G35" s="68"/>
      <c r="H35" s="69"/>
      <c r="I35" s="134">
        <v>0.8</v>
      </c>
      <c r="J35" s="135">
        <f>I35*'Monto de Obra'!$C$2</f>
        <v>7872</v>
      </c>
      <c r="K35" s="72"/>
      <c r="L35" s="162">
        <f t="shared" si="4"/>
        <v>0</v>
      </c>
      <c r="M35" s="393"/>
      <c r="N35" s="97"/>
      <c r="O35" s="362"/>
      <c r="P35" s="363"/>
      <c r="Q35" s="363"/>
      <c r="R35" s="363"/>
      <c r="S35" s="363"/>
    </row>
    <row r="36" spans="1:23" ht="19.5" customHeight="1" thickBot="1">
      <c r="A36" s="74" t="e">
        <f>+IF(L36+#REF!&gt;0,1,0)</f>
        <v>#REF!</v>
      </c>
      <c r="B36" s="101" t="s">
        <v>107</v>
      </c>
      <c r="C36" s="102"/>
      <c r="D36" s="102"/>
      <c r="E36" s="102"/>
      <c r="F36" s="102"/>
      <c r="G36" s="102"/>
      <c r="H36" s="103"/>
      <c r="I36" s="145">
        <v>1.4</v>
      </c>
      <c r="J36" s="146">
        <f>I36*'Monto de Obra'!$C$2</f>
        <v>13776</v>
      </c>
      <c r="K36" s="82"/>
      <c r="L36" s="163">
        <f t="shared" si="4"/>
        <v>0</v>
      </c>
      <c r="M36" s="394"/>
      <c r="N36" s="104"/>
      <c r="O36" s="364"/>
      <c r="P36" s="365"/>
      <c r="Q36" s="365"/>
      <c r="R36" s="365"/>
      <c r="S36" s="365"/>
      <c r="T36" s="105"/>
      <c r="U36" s="105"/>
      <c r="V36" s="105"/>
      <c r="W36" s="105"/>
    </row>
    <row r="37" spans="1:23" ht="19.5" customHeight="1" thickTop="1">
      <c r="A37" s="106"/>
      <c r="B37" s="83" t="s">
        <v>65</v>
      </c>
      <c r="C37" s="84"/>
      <c r="D37" s="84"/>
      <c r="E37" s="84"/>
      <c r="F37" s="84"/>
      <c r="G37" s="84"/>
      <c r="H37" s="85"/>
      <c r="I37" s="143">
        <v>0.9</v>
      </c>
      <c r="J37" s="144">
        <f>I37*'Monto de Obra'!$C$2</f>
        <v>8856</v>
      </c>
      <c r="K37" s="86"/>
      <c r="L37" s="161">
        <f>(J37*K37)</f>
        <v>0</v>
      </c>
      <c r="M37" s="387" t="s">
        <v>17</v>
      </c>
      <c r="N37" s="97"/>
      <c r="O37" s="107"/>
      <c r="P37" s="107"/>
      <c r="Q37" s="107"/>
      <c r="R37" s="107"/>
      <c r="S37" s="107"/>
      <c r="T37" s="105"/>
      <c r="U37" s="105"/>
      <c r="V37" s="105"/>
      <c r="W37" s="105"/>
    </row>
    <row r="38" spans="1:14" ht="19.5" customHeight="1">
      <c r="A38" s="71" t="e">
        <f>+IF(L38+#REF!&gt;0,1,0)</f>
        <v>#REF!</v>
      </c>
      <c r="B38" s="108" t="s">
        <v>19</v>
      </c>
      <c r="C38" s="109"/>
      <c r="D38" s="109"/>
      <c r="E38" s="109"/>
      <c r="F38" s="109"/>
      <c r="G38" s="109"/>
      <c r="H38" s="110"/>
      <c r="I38" s="147">
        <v>1.2</v>
      </c>
      <c r="J38" s="148">
        <f>I38*'Monto de Obra'!$C$2</f>
        <v>11808</v>
      </c>
      <c r="K38" s="111"/>
      <c r="L38" s="164">
        <f aca="true" t="shared" si="5" ref="L38:L59">(J38*K38)</f>
        <v>0</v>
      </c>
      <c r="M38" s="388"/>
      <c r="N38" s="97"/>
    </row>
    <row r="39" spans="1:14" ht="19.5" customHeight="1">
      <c r="A39" s="73" t="e">
        <f>+IF(L39+#REF!&gt;0,1,0)</f>
        <v>#REF!</v>
      </c>
      <c r="B39" s="67" t="s">
        <v>20</v>
      </c>
      <c r="C39" s="68"/>
      <c r="D39" s="68"/>
      <c r="E39" s="68"/>
      <c r="F39" s="68"/>
      <c r="G39" s="68"/>
      <c r="H39" s="69"/>
      <c r="I39" s="134">
        <v>2</v>
      </c>
      <c r="J39" s="135">
        <f>I39*'Monto de Obra'!$C$2</f>
        <v>19680</v>
      </c>
      <c r="K39" s="72"/>
      <c r="L39" s="162">
        <f t="shared" si="5"/>
        <v>0</v>
      </c>
      <c r="M39" s="388"/>
      <c r="N39" s="97"/>
    </row>
    <row r="40" spans="1:14" ht="19.5" customHeight="1">
      <c r="A40" s="73" t="e">
        <f>+IF(L40+#REF!&gt;0,1,0)</f>
        <v>#REF!</v>
      </c>
      <c r="B40" s="67" t="s">
        <v>21</v>
      </c>
      <c r="C40" s="68"/>
      <c r="D40" s="68"/>
      <c r="E40" s="68"/>
      <c r="F40" s="68"/>
      <c r="G40" s="68"/>
      <c r="H40" s="69"/>
      <c r="I40" s="134">
        <v>1.6</v>
      </c>
      <c r="J40" s="135">
        <f>I40*'Monto de Obra'!$C$2</f>
        <v>15744</v>
      </c>
      <c r="K40" s="72"/>
      <c r="L40" s="162">
        <f t="shared" si="5"/>
        <v>0</v>
      </c>
      <c r="M40" s="388"/>
      <c r="N40" s="97"/>
    </row>
    <row r="41" spans="1:14" ht="19.5" customHeight="1">
      <c r="A41" s="73" t="e">
        <f>+IF(L41+#REF!&gt;0,1,0)</f>
        <v>#REF!</v>
      </c>
      <c r="B41" s="67" t="s">
        <v>22</v>
      </c>
      <c r="C41" s="68"/>
      <c r="D41" s="68"/>
      <c r="E41" s="68"/>
      <c r="F41" s="68"/>
      <c r="G41" s="68"/>
      <c r="H41" s="69"/>
      <c r="I41" s="134">
        <v>1.8</v>
      </c>
      <c r="J41" s="135">
        <f>I41*'Monto de Obra'!$C$2</f>
        <v>17712</v>
      </c>
      <c r="K41" s="72"/>
      <c r="L41" s="162">
        <f t="shared" si="5"/>
        <v>0</v>
      </c>
      <c r="M41" s="388"/>
      <c r="N41" s="97"/>
    </row>
    <row r="42" spans="1:14" ht="19.5" customHeight="1">
      <c r="A42" s="73"/>
      <c r="B42" s="67" t="s">
        <v>66</v>
      </c>
      <c r="C42" s="68"/>
      <c r="D42" s="68"/>
      <c r="E42" s="68"/>
      <c r="F42" s="68"/>
      <c r="G42" s="68"/>
      <c r="H42" s="69"/>
      <c r="I42" s="134">
        <v>1.6</v>
      </c>
      <c r="J42" s="135">
        <f>I42*'Monto de Obra'!$C$2</f>
        <v>15744</v>
      </c>
      <c r="K42" s="72"/>
      <c r="L42" s="162">
        <f>(J42*K42)</f>
        <v>0</v>
      </c>
      <c r="M42" s="388"/>
      <c r="N42" s="97"/>
    </row>
    <row r="43" spans="1:14" ht="19.5" customHeight="1">
      <c r="A43" s="73" t="e">
        <f>+IF(L43+#REF!&gt;0,1,0)</f>
        <v>#REF!</v>
      </c>
      <c r="B43" s="67" t="s">
        <v>67</v>
      </c>
      <c r="C43" s="68"/>
      <c r="D43" s="68"/>
      <c r="E43" s="68"/>
      <c r="F43" s="68"/>
      <c r="G43" s="68"/>
      <c r="H43" s="69"/>
      <c r="I43" s="134">
        <v>1.2</v>
      </c>
      <c r="J43" s="135">
        <f>I43*'Monto de Obra'!$C$2</f>
        <v>11808</v>
      </c>
      <c r="K43" s="72"/>
      <c r="L43" s="162">
        <f t="shared" si="5"/>
        <v>0</v>
      </c>
      <c r="M43" s="388"/>
      <c r="N43" s="97"/>
    </row>
    <row r="44" spans="1:14" ht="19.5" customHeight="1">
      <c r="A44" s="73" t="e">
        <f>+IF(L44+#REF!&gt;0,1,0)</f>
        <v>#REF!</v>
      </c>
      <c r="B44" s="67" t="s">
        <v>27</v>
      </c>
      <c r="C44" s="68"/>
      <c r="D44" s="68"/>
      <c r="E44" s="68"/>
      <c r="F44" s="68"/>
      <c r="G44" s="68"/>
      <c r="H44" s="69"/>
      <c r="I44" s="134">
        <v>0.5</v>
      </c>
      <c r="J44" s="135">
        <f>I44*'Monto de Obra'!$C$2</f>
        <v>4920</v>
      </c>
      <c r="K44" s="72"/>
      <c r="L44" s="162">
        <f t="shared" si="5"/>
        <v>0</v>
      </c>
      <c r="M44" s="388"/>
      <c r="N44" s="97"/>
    </row>
    <row r="45" spans="1:14" ht="19.5" customHeight="1">
      <c r="A45" s="73" t="e">
        <f>+IF(L45+#REF!&gt;0,1,0)</f>
        <v>#REF!</v>
      </c>
      <c r="B45" s="67" t="s">
        <v>23</v>
      </c>
      <c r="C45" s="68"/>
      <c r="D45" s="68"/>
      <c r="E45" s="68"/>
      <c r="F45" s="68"/>
      <c r="G45" s="68"/>
      <c r="H45" s="69"/>
      <c r="I45" s="134">
        <v>1</v>
      </c>
      <c r="J45" s="135">
        <f>I45*'Monto de Obra'!$C$2</f>
        <v>9840</v>
      </c>
      <c r="K45" s="72"/>
      <c r="L45" s="162">
        <f t="shared" si="5"/>
        <v>0</v>
      </c>
      <c r="M45" s="388"/>
      <c r="N45" s="97"/>
    </row>
    <row r="46" spans="1:14" ht="19.5" customHeight="1">
      <c r="A46" s="73" t="e">
        <f>+IF(L46+#REF!&gt;0,1,0)</f>
        <v>#REF!</v>
      </c>
      <c r="B46" s="67" t="s">
        <v>34</v>
      </c>
      <c r="C46" s="68"/>
      <c r="D46" s="68"/>
      <c r="E46" s="68"/>
      <c r="F46" s="68"/>
      <c r="G46" s="68"/>
      <c r="H46" s="69"/>
      <c r="I46" s="134">
        <v>1.3</v>
      </c>
      <c r="J46" s="135">
        <f>I46*'Monto de Obra'!$C$2</f>
        <v>12792</v>
      </c>
      <c r="K46" s="72"/>
      <c r="L46" s="162">
        <f t="shared" si="5"/>
        <v>0</v>
      </c>
      <c r="M46" s="388"/>
      <c r="N46" s="97"/>
    </row>
    <row r="47" spans="1:14" ht="19.5" customHeight="1">
      <c r="A47" s="73" t="e">
        <f>+IF(L47+#REF!&gt;0,1,0)</f>
        <v>#REF!</v>
      </c>
      <c r="B47" s="67" t="s">
        <v>24</v>
      </c>
      <c r="C47" s="68"/>
      <c r="D47" s="68"/>
      <c r="E47" s="68"/>
      <c r="F47" s="68"/>
      <c r="G47" s="68"/>
      <c r="H47" s="69"/>
      <c r="I47" s="134">
        <v>1.6</v>
      </c>
      <c r="J47" s="135">
        <f>I47*'Monto de Obra'!$C$2</f>
        <v>15744</v>
      </c>
      <c r="K47" s="72"/>
      <c r="L47" s="162">
        <f t="shared" si="5"/>
        <v>0</v>
      </c>
      <c r="M47" s="388"/>
      <c r="N47" s="97"/>
    </row>
    <row r="48" spans="1:14" ht="19.5" customHeight="1">
      <c r="A48" s="73" t="e">
        <f>+IF(L48+#REF!&gt;0,1,0)</f>
        <v>#REF!</v>
      </c>
      <c r="B48" s="67" t="s">
        <v>33</v>
      </c>
      <c r="C48" s="68"/>
      <c r="D48" s="68"/>
      <c r="E48" s="68"/>
      <c r="F48" s="68"/>
      <c r="G48" s="68"/>
      <c r="H48" s="69"/>
      <c r="I48" s="134">
        <v>1.3</v>
      </c>
      <c r="J48" s="135">
        <f>I48*'Monto de Obra'!$C$2</f>
        <v>12792</v>
      </c>
      <c r="K48" s="72"/>
      <c r="L48" s="162">
        <f t="shared" si="5"/>
        <v>0</v>
      </c>
      <c r="M48" s="388"/>
      <c r="N48" s="97"/>
    </row>
    <row r="49" spans="1:14" ht="19.5" customHeight="1">
      <c r="A49" s="73"/>
      <c r="B49" s="67" t="s">
        <v>68</v>
      </c>
      <c r="C49" s="68"/>
      <c r="D49" s="68"/>
      <c r="E49" s="68"/>
      <c r="F49" s="68"/>
      <c r="G49" s="68"/>
      <c r="H49" s="69"/>
      <c r="I49" s="134">
        <v>1.7</v>
      </c>
      <c r="J49" s="135">
        <f>I49*'Monto de Obra'!$C$2</f>
        <v>16728</v>
      </c>
      <c r="K49" s="72"/>
      <c r="L49" s="162">
        <f t="shared" si="5"/>
        <v>0</v>
      </c>
      <c r="M49" s="388"/>
      <c r="N49" s="97"/>
    </row>
    <row r="50" spans="1:14" ht="19.5" customHeight="1">
      <c r="A50" s="73" t="e">
        <f>+IF(L50+#REF!&gt;0,1,0)</f>
        <v>#REF!</v>
      </c>
      <c r="B50" s="67" t="s">
        <v>69</v>
      </c>
      <c r="C50" s="68"/>
      <c r="D50" s="68"/>
      <c r="E50" s="68"/>
      <c r="F50" s="68"/>
      <c r="G50" s="68"/>
      <c r="H50" s="69"/>
      <c r="I50" s="134">
        <v>2</v>
      </c>
      <c r="J50" s="135">
        <f>I50*'Monto de Obra'!$C$2</f>
        <v>19680</v>
      </c>
      <c r="K50" s="72"/>
      <c r="L50" s="162">
        <f t="shared" si="5"/>
        <v>0</v>
      </c>
      <c r="M50" s="388"/>
      <c r="N50" s="97"/>
    </row>
    <row r="51" spans="1:14" ht="19.5" customHeight="1">
      <c r="A51" s="73"/>
      <c r="B51" s="67" t="s">
        <v>185</v>
      </c>
      <c r="C51" s="68"/>
      <c r="D51" s="68"/>
      <c r="E51" s="68"/>
      <c r="F51" s="68"/>
      <c r="G51" s="68"/>
      <c r="H51" s="69"/>
      <c r="I51" s="134">
        <v>1.25</v>
      </c>
      <c r="J51" s="135">
        <f>I51*'Monto de Obra'!$C$2</f>
        <v>12300</v>
      </c>
      <c r="K51" s="72"/>
      <c r="L51" s="162">
        <f>(J51*K51)</f>
        <v>0</v>
      </c>
      <c r="M51" s="388"/>
      <c r="N51" s="97"/>
    </row>
    <row r="52" spans="1:14" ht="19.5" customHeight="1">
      <c r="A52" s="73" t="e">
        <f>+IF(L52+#REF!&gt;0,1,0)</f>
        <v>#REF!</v>
      </c>
      <c r="B52" s="67" t="s">
        <v>25</v>
      </c>
      <c r="C52" s="68"/>
      <c r="D52" s="68"/>
      <c r="E52" s="68"/>
      <c r="F52" s="68"/>
      <c r="G52" s="68"/>
      <c r="H52" s="69"/>
      <c r="I52" s="134">
        <v>1.1</v>
      </c>
      <c r="J52" s="135">
        <f>I52*'Monto de Obra'!$C$2</f>
        <v>10824</v>
      </c>
      <c r="K52" s="72"/>
      <c r="L52" s="162">
        <f t="shared" si="5"/>
        <v>0</v>
      </c>
      <c r="M52" s="388"/>
      <c r="N52" s="97"/>
    </row>
    <row r="53" spans="1:14" ht="19.5" customHeight="1">
      <c r="A53" s="73" t="e">
        <f>+IF(L53+#REF!&gt;0,1,0)</f>
        <v>#REF!</v>
      </c>
      <c r="B53" s="67" t="s">
        <v>26</v>
      </c>
      <c r="C53" s="68"/>
      <c r="D53" s="68"/>
      <c r="E53" s="68"/>
      <c r="F53" s="68"/>
      <c r="G53" s="68"/>
      <c r="H53" s="69"/>
      <c r="I53" s="134">
        <v>1.6</v>
      </c>
      <c r="J53" s="135">
        <f>I53*'Monto de Obra'!$C$2</f>
        <v>15744</v>
      </c>
      <c r="K53" s="72"/>
      <c r="L53" s="162">
        <f t="shared" si="5"/>
        <v>0</v>
      </c>
      <c r="M53" s="388"/>
      <c r="N53" s="97"/>
    </row>
    <row r="54" spans="1:14" ht="19.5" customHeight="1">
      <c r="A54" s="73" t="e">
        <f>+IF(L54+#REF!&gt;0,1,0)</f>
        <v>#REF!</v>
      </c>
      <c r="B54" s="67" t="s">
        <v>39</v>
      </c>
      <c r="C54" s="68"/>
      <c r="D54" s="68"/>
      <c r="E54" s="68"/>
      <c r="F54" s="68"/>
      <c r="G54" s="68"/>
      <c r="H54" s="69"/>
      <c r="I54" s="134">
        <v>1.7</v>
      </c>
      <c r="J54" s="135">
        <f>I54*'Monto de Obra'!$C$2</f>
        <v>16728</v>
      </c>
      <c r="K54" s="72"/>
      <c r="L54" s="162">
        <f t="shared" si="5"/>
        <v>0</v>
      </c>
      <c r="M54" s="388"/>
      <c r="N54" s="97"/>
    </row>
    <row r="55" spans="1:14" ht="19.5" customHeight="1">
      <c r="A55" s="73" t="e">
        <f>+IF(L55+#REF!&gt;0,1,0)</f>
        <v>#REF!</v>
      </c>
      <c r="B55" s="67" t="s">
        <v>28</v>
      </c>
      <c r="C55" s="68"/>
      <c r="D55" s="68"/>
      <c r="E55" s="68"/>
      <c r="F55" s="68"/>
      <c r="G55" s="68"/>
      <c r="H55" s="69"/>
      <c r="I55" s="134">
        <v>1.5</v>
      </c>
      <c r="J55" s="135">
        <f>I55*'Monto de Obra'!$C$2</f>
        <v>14760</v>
      </c>
      <c r="K55" s="72"/>
      <c r="L55" s="162">
        <f t="shared" si="5"/>
        <v>0</v>
      </c>
      <c r="M55" s="388"/>
      <c r="N55" s="97"/>
    </row>
    <row r="56" spans="1:14" ht="19.5" customHeight="1">
      <c r="A56" s="73" t="e">
        <f>+IF(L56+#REF!&gt;0,1,0)</f>
        <v>#REF!</v>
      </c>
      <c r="B56" s="67" t="s">
        <v>29</v>
      </c>
      <c r="C56" s="68"/>
      <c r="D56" s="68"/>
      <c r="E56" s="68"/>
      <c r="F56" s="68"/>
      <c r="G56" s="68"/>
      <c r="H56" s="69"/>
      <c r="I56" s="134">
        <v>0.9</v>
      </c>
      <c r="J56" s="135">
        <f>I56*'Monto de Obra'!$C$2</f>
        <v>8856</v>
      </c>
      <c r="K56" s="72"/>
      <c r="L56" s="162">
        <f t="shared" si="5"/>
        <v>0</v>
      </c>
      <c r="M56" s="388"/>
      <c r="N56" s="97"/>
    </row>
    <row r="57" spans="1:14" ht="19.5" customHeight="1">
      <c r="A57" s="73" t="e">
        <f>+IF(L57+#REF!&gt;0,1,0)</f>
        <v>#REF!</v>
      </c>
      <c r="B57" s="67" t="s">
        <v>30</v>
      </c>
      <c r="C57" s="68"/>
      <c r="D57" s="68"/>
      <c r="E57" s="68"/>
      <c r="F57" s="68"/>
      <c r="G57" s="68"/>
      <c r="H57" s="69"/>
      <c r="I57" s="134">
        <v>1.4</v>
      </c>
      <c r="J57" s="135">
        <f>I57*'Monto de Obra'!$C$2</f>
        <v>13776</v>
      </c>
      <c r="K57" s="72"/>
      <c r="L57" s="162">
        <f t="shared" si="5"/>
        <v>0</v>
      </c>
      <c r="M57" s="388"/>
      <c r="N57" s="97"/>
    </row>
    <row r="58" spans="1:14" ht="19.5" customHeight="1">
      <c r="A58" s="74"/>
      <c r="B58" s="112" t="s">
        <v>31</v>
      </c>
      <c r="C58" s="113"/>
      <c r="D58" s="113"/>
      <c r="E58" s="113"/>
      <c r="F58" s="113"/>
      <c r="G58" s="113"/>
      <c r="H58" s="114"/>
      <c r="I58" s="149">
        <v>1.5</v>
      </c>
      <c r="J58" s="150">
        <f>I58*'Monto de Obra'!$C$2</f>
        <v>14760</v>
      </c>
      <c r="K58" s="78"/>
      <c r="L58" s="165">
        <f>(J58*K58)</f>
        <v>0</v>
      </c>
      <c r="M58" s="388"/>
      <c r="N58" s="97"/>
    </row>
    <row r="59" spans="1:14" ht="19.5" customHeight="1" thickBot="1">
      <c r="A59" s="74" t="e">
        <f>+IF(L59+#REF!&gt;0,1,0)</f>
        <v>#REF!</v>
      </c>
      <c r="B59" s="101" t="s">
        <v>70</v>
      </c>
      <c r="C59" s="102"/>
      <c r="D59" s="102"/>
      <c r="E59" s="102"/>
      <c r="F59" s="102"/>
      <c r="G59" s="102"/>
      <c r="H59" s="103"/>
      <c r="I59" s="145">
        <v>1.3</v>
      </c>
      <c r="J59" s="146">
        <f>I59*'Monto de Obra'!$C$2</f>
        <v>12792</v>
      </c>
      <c r="K59" s="82"/>
      <c r="L59" s="163">
        <f t="shared" si="5"/>
        <v>0</v>
      </c>
      <c r="M59" s="389"/>
      <c r="N59" s="97"/>
    </row>
    <row r="60" spans="1:14" ht="19.5" customHeight="1" thickBot="1" thickTop="1">
      <c r="A60" s="60" t="e">
        <f>+IF(L60+#REF!&gt;0,1,0)</f>
        <v>#REF!</v>
      </c>
      <c r="B60" s="83" t="s">
        <v>165</v>
      </c>
      <c r="C60" s="84"/>
      <c r="D60" s="84"/>
      <c r="E60" s="84"/>
      <c r="F60" s="84"/>
      <c r="G60" s="84"/>
      <c r="H60" s="85"/>
      <c r="I60" s="143">
        <v>1</v>
      </c>
      <c r="J60" s="144">
        <f>I60*'Monto de Obra'!$C$2</f>
        <v>9840</v>
      </c>
      <c r="K60" s="86"/>
      <c r="L60" s="161">
        <f aca="true" t="shared" si="6" ref="L60:L67">(J60*K60)</f>
        <v>0</v>
      </c>
      <c r="M60" s="391" t="s">
        <v>32</v>
      </c>
      <c r="N60" s="97"/>
    </row>
    <row r="61" spans="1:14" ht="19.5" customHeight="1" thickTop="1">
      <c r="A61" s="71"/>
      <c r="B61" s="83" t="s">
        <v>166</v>
      </c>
      <c r="C61" s="84"/>
      <c r="D61" s="84"/>
      <c r="E61" s="84"/>
      <c r="F61" s="84"/>
      <c r="G61" s="84"/>
      <c r="H61" s="85"/>
      <c r="I61" s="143">
        <v>1.25</v>
      </c>
      <c r="J61" s="144">
        <f>I61*'Monto de Obra'!$C$2</f>
        <v>12300</v>
      </c>
      <c r="K61" s="86"/>
      <c r="L61" s="161">
        <f>(J61*K61)</f>
        <v>0</v>
      </c>
      <c r="M61" s="392"/>
      <c r="N61" s="97"/>
    </row>
    <row r="62" spans="1:14" ht="19.5" customHeight="1">
      <c r="A62" s="73" t="e">
        <f>+IF(L62+#REF!&gt;0,1,0)</f>
        <v>#REF!</v>
      </c>
      <c r="B62" s="67" t="s">
        <v>35</v>
      </c>
      <c r="C62" s="68"/>
      <c r="D62" s="68"/>
      <c r="E62" s="68"/>
      <c r="F62" s="68"/>
      <c r="G62" s="68"/>
      <c r="H62" s="69"/>
      <c r="I62" s="134">
        <v>0.1</v>
      </c>
      <c r="J62" s="135">
        <f>I62*'Monto de Obra'!$C$2</f>
        <v>984</v>
      </c>
      <c r="K62" s="72"/>
      <c r="L62" s="162">
        <f t="shared" si="6"/>
        <v>0</v>
      </c>
      <c r="M62" s="393"/>
      <c r="N62" s="97"/>
    </row>
    <row r="63" spans="1:14" ht="19.5" customHeight="1" thickBot="1">
      <c r="A63" s="79" t="e">
        <f>+IF(L63+#REF!&gt;0,1,0)</f>
        <v>#REF!</v>
      </c>
      <c r="B63" s="115" t="s">
        <v>36</v>
      </c>
      <c r="C63" s="116"/>
      <c r="D63" s="116"/>
      <c r="E63" s="116"/>
      <c r="F63" s="116"/>
      <c r="G63" s="116"/>
      <c r="H63" s="117"/>
      <c r="I63" s="151">
        <v>0.15</v>
      </c>
      <c r="J63" s="152">
        <f>I63*'Monto de Obra'!$C$2</f>
        <v>1476</v>
      </c>
      <c r="K63" s="118"/>
      <c r="L63" s="166">
        <f t="shared" si="6"/>
        <v>0</v>
      </c>
      <c r="M63" s="394"/>
      <c r="N63" s="97"/>
    </row>
    <row r="64" spans="1:14" ht="21" customHeight="1" thickTop="1">
      <c r="A64" s="60" t="e">
        <f>+IF(L64+#REF!&gt;0,1,0)</f>
        <v>#REF!</v>
      </c>
      <c r="B64" s="83" t="s">
        <v>115</v>
      </c>
      <c r="C64" s="84"/>
      <c r="D64" s="84"/>
      <c r="E64" s="84"/>
      <c r="F64" s="84"/>
      <c r="G64" s="84"/>
      <c r="H64" s="85"/>
      <c r="I64" s="143">
        <v>0.7</v>
      </c>
      <c r="J64" s="144">
        <f>I64*'Monto de Obra'!$C$2</f>
        <v>6888</v>
      </c>
      <c r="K64" s="86"/>
      <c r="L64" s="161">
        <f t="shared" si="6"/>
        <v>0</v>
      </c>
      <c r="M64" s="407" t="s">
        <v>114</v>
      </c>
      <c r="N64" s="97"/>
    </row>
    <row r="65" spans="1:14" ht="21" customHeight="1">
      <c r="A65" s="73" t="e">
        <f>+IF(L65+#REF!&gt;0,1,0)</f>
        <v>#REF!</v>
      </c>
      <c r="B65" s="67" t="s">
        <v>116</v>
      </c>
      <c r="C65" s="68"/>
      <c r="D65" s="68"/>
      <c r="E65" s="68"/>
      <c r="F65" s="68"/>
      <c r="G65" s="68"/>
      <c r="H65" s="69"/>
      <c r="I65" s="134">
        <v>0.5</v>
      </c>
      <c r="J65" s="135">
        <f>I65*'Monto de Obra'!$C$2</f>
        <v>4920</v>
      </c>
      <c r="K65" s="72"/>
      <c r="L65" s="276">
        <f t="shared" si="6"/>
        <v>0</v>
      </c>
      <c r="M65" s="408"/>
      <c r="N65" s="97"/>
    </row>
    <row r="66" spans="1:14" ht="21" customHeight="1">
      <c r="A66" s="74"/>
      <c r="B66" s="67" t="s">
        <v>117</v>
      </c>
      <c r="C66" s="68"/>
      <c r="D66" s="68"/>
      <c r="E66" s="68"/>
      <c r="F66" s="68"/>
      <c r="G66" s="68"/>
      <c r="H66" s="69"/>
      <c r="I66" s="274">
        <v>0.4</v>
      </c>
      <c r="J66" s="275">
        <f>I66*'Monto de Obra'!$C$2</f>
        <v>3936</v>
      </c>
      <c r="K66" s="78"/>
      <c r="L66" s="164">
        <f t="shared" si="6"/>
        <v>0</v>
      </c>
      <c r="M66" s="409"/>
      <c r="N66" s="97"/>
    </row>
    <row r="67" spans="1:14" ht="21" customHeight="1" thickBot="1">
      <c r="A67" s="79" t="e">
        <f>+IF(L67+#REF!&gt;0,1,0)</f>
        <v>#REF!</v>
      </c>
      <c r="B67" s="101" t="s">
        <v>118</v>
      </c>
      <c r="C67" s="102"/>
      <c r="D67" s="102"/>
      <c r="E67" s="102"/>
      <c r="F67" s="102"/>
      <c r="G67" s="102"/>
      <c r="H67" s="103"/>
      <c r="I67" s="272">
        <v>0.25</v>
      </c>
      <c r="J67" s="273">
        <f>I67*'Monto de Obra'!$C$2</f>
        <v>2460</v>
      </c>
      <c r="K67" s="82"/>
      <c r="L67" s="163">
        <f t="shared" si="6"/>
        <v>0</v>
      </c>
      <c r="M67" s="410"/>
      <c r="N67" s="97"/>
    </row>
    <row r="68" spans="7:12" ht="40.5" customHeight="1" thickBot="1">
      <c r="G68" s="401" t="s">
        <v>75</v>
      </c>
      <c r="H68" s="402"/>
      <c r="I68" s="402"/>
      <c r="J68" s="402"/>
      <c r="K68" s="403"/>
      <c r="L68" s="271">
        <f>SUM(L6:L63)</f>
        <v>0</v>
      </c>
    </row>
    <row r="69" spans="2:8" ht="15.75" thickTop="1">
      <c r="B69" s="390"/>
      <c r="C69" s="390"/>
      <c r="D69" s="390"/>
      <c r="E69" s="390"/>
      <c r="F69" s="390"/>
      <c r="G69" s="390"/>
      <c r="H69" s="390"/>
    </row>
    <row r="70" spans="2:8" ht="15">
      <c r="B70" s="390"/>
      <c r="C70" s="390"/>
      <c r="D70" s="390"/>
      <c r="E70" s="390"/>
      <c r="F70" s="390"/>
      <c r="G70" s="390"/>
      <c r="H70" s="390"/>
    </row>
  </sheetData>
  <sheetProtection password="87BA" sheet="1" formatCells="0" selectLockedCells="1"/>
  <mergeCells count="20">
    <mergeCell ref="B70:H70"/>
    <mergeCell ref="B69:H69"/>
    <mergeCell ref="M37:M59"/>
    <mergeCell ref="M60:M63"/>
    <mergeCell ref="K1:L2"/>
    <mergeCell ref="M27:M36"/>
    <mergeCell ref="B4:H4"/>
    <mergeCell ref="G68:K68"/>
    <mergeCell ref="M6:M14"/>
    <mergeCell ref="M64:M67"/>
    <mergeCell ref="O27:S31"/>
    <mergeCell ref="O32:S36"/>
    <mergeCell ref="M21:M26"/>
    <mergeCell ref="O21:S26"/>
    <mergeCell ref="B14:H14"/>
    <mergeCell ref="B19:H19"/>
    <mergeCell ref="B25:H25"/>
    <mergeCell ref="O6:S14"/>
    <mergeCell ref="O15:S20"/>
    <mergeCell ref="M15:M20"/>
  </mergeCells>
  <printOptions/>
  <pageMargins left="0.15748031496062992" right="0.03937007874015748" top="0.46" bottom="0.35433070866141736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82">
      <selection activeCell="C87" sqref="C87"/>
    </sheetView>
  </sheetViews>
  <sheetFormatPr defaultColWidth="11.421875" defaultRowHeight="15"/>
  <cols>
    <col min="1" max="1" width="48.00390625" style="120" customWidth="1"/>
    <col min="2" max="2" width="15.140625" style="120" customWidth="1"/>
    <col min="3" max="3" width="21.00390625" style="120" customWidth="1"/>
    <col min="4" max="4" width="18.8515625" style="120" customWidth="1"/>
    <col min="5" max="5" width="8.7109375" style="120" customWidth="1"/>
    <col min="6" max="6" width="14.140625" style="120" customWidth="1"/>
    <col min="7" max="7" width="16.140625" style="120" customWidth="1"/>
    <col min="8" max="8" width="18.7109375" style="120" customWidth="1"/>
    <col min="9" max="9" width="6.7109375" style="120" customWidth="1"/>
    <col min="10" max="10" width="11.421875" style="120" customWidth="1"/>
    <col min="11" max="11" width="0" style="120" hidden="1" customWidth="1"/>
    <col min="12" max="16" width="11.421875" style="120" customWidth="1"/>
    <col min="17" max="17" width="14.28125" style="120" bestFit="1" customWidth="1"/>
    <col min="18" max="16384" width="11.421875" style="120" customWidth="1"/>
  </cols>
  <sheetData>
    <row r="1" spans="1:8" ht="15.75" thickBot="1">
      <c r="A1" s="119"/>
      <c r="B1" s="119"/>
      <c r="C1" s="119"/>
      <c r="D1" s="119"/>
      <c r="E1" s="119"/>
      <c r="F1" s="119"/>
      <c r="G1" s="119"/>
      <c r="H1" s="119"/>
    </row>
    <row r="2" spans="1:15" ht="38.25" customHeight="1" thickBot="1">
      <c r="A2" s="167" t="s">
        <v>76</v>
      </c>
      <c r="B2" s="464">
        <f>'Monto de Obra'!$L$68</f>
        <v>0</v>
      </c>
      <c r="C2" s="465"/>
      <c r="D2" s="168"/>
      <c r="E2" s="168"/>
      <c r="F2" s="168"/>
      <c r="G2" s="168"/>
      <c r="H2" s="168"/>
      <c r="I2" s="169"/>
      <c r="J2" s="169"/>
      <c r="K2" s="169"/>
      <c r="L2" s="169"/>
      <c r="M2" s="169"/>
      <c r="N2" s="169"/>
      <c r="O2" s="169"/>
    </row>
    <row r="3" spans="1:15" ht="15">
      <c r="A3" s="168"/>
      <c r="B3" s="168"/>
      <c r="C3" s="168"/>
      <c r="D3" s="168"/>
      <c r="E3" s="168"/>
      <c r="F3" s="168"/>
      <c r="G3" s="168"/>
      <c r="H3" s="168"/>
      <c r="I3" s="169"/>
      <c r="J3" s="169"/>
      <c r="K3" s="169"/>
      <c r="L3" s="169"/>
      <c r="M3" s="169"/>
      <c r="N3" s="169"/>
      <c r="O3" s="169"/>
    </row>
    <row r="4" spans="1:15" ht="15">
      <c r="A4" s="168"/>
      <c r="B4" s="168"/>
      <c r="C4" s="168"/>
      <c r="D4" s="168"/>
      <c r="E4" s="168"/>
      <c r="F4" s="168"/>
      <c r="G4" s="168"/>
      <c r="H4" s="168"/>
      <c r="I4" s="169"/>
      <c r="J4" s="169"/>
      <c r="K4" s="169"/>
      <c r="L4" s="169"/>
      <c r="M4" s="169"/>
      <c r="N4" s="169"/>
      <c r="O4" s="169"/>
    </row>
    <row r="5" spans="1:15" ht="48.75" customHeight="1" hidden="1" thickBot="1">
      <c r="A5" s="170"/>
      <c r="B5" s="171"/>
      <c r="C5" s="171"/>
      <c r="D5" s="172"/>
      <c r="E5" s="172"/>
      <c r="F5" s="172"/>
      <c r="G5" s="172"/>
      <c r="H5" s="173"/>
      <c r="I5" s="169"/>
      <c r="J5" s="169"/>
      <c r="K5" s="169"/>
      <c r="L5" s="169"/>
      <c r="M5" s="169"/>
      <c r="N5" s="169"/>
      <c r="O5" s="169"/>
    </row>
    <row r="6" spans="1:15" ht="3" customHeight="1" thickBot="1">
      <c r="A6" s="174"/>
      <c r="B6" s="175"/>
      <c r="C6" s="176"/>
      <c r="D6" s="175"/>
      <c r="E6" s="175"/>
      <c r="F6" s="175"/>
      <c r="G6" s="175"/>
      <c r="H6" s="168"/>
      <c r="I6" s="169"/>
      <c r="J6" s="169"/>
      <c r="K6" s="169"/>
      <c r="L6" s="169"/>
      <c r="M6" s="169"/>
      <c r="N6" s="169"/>
      <c r="O6" s="169"/>
    </row>
    <row r="7" spans="1:15" ht="30.75" customHeight="1" thickBot="1">
      <c r="A7" s="466" t="s">
        <v>160</v>
      </c>
      <c r="B7" s="467"/>
      <c r="C7" s="467"/>
      <c r="D7" s="467"/>
      <c r="E7" s="467"/>
      <c r="F7" s="467"/>
      <c r="G7" s="468"/>
      <c r="H7" s="168"/>
      <c r="I7" s="169"/>
      <c r="J7" s="169"/>
      <c r="K7" s="169"/>
      <c r="L7" s="169"/>
      <c r="M7" s="169"/>
      <c r="N7" s="169"/>
      <c r="O7" s="169"/>
    </row>
    <row r="8" spans="1:17" ht="48" customHeight="1" thickBot="1">
      <c r="A8" s="469" t="s">
        <v>53</v>
      </c>
      <c r="B8" s="470"/>
      <c r="C8" s="470"/>
      <c r="D8" s="470"/>
      <c r="E8" s="341" t="s">
        <v>184</v>
      </c>
      <c r="F8" s="297" t="s">
        <v>41</v>
      </c>
      <c r="G8" s="298" t="s">
        <v>42</v>
      </c>
      <c r="H8" s="168"/>
      <c r="I8" s="169"/>
      <c r="J8" s="461" t="s">
        <v>79</v>
      </c>
      <c r="K8" s="462"/>
      <c r="L8" s="462"/>
      <c r="M8" s="462"/>
      <c r="N8" s="462"/>
      <c r="O8" s="462"/>
      <c r="P8" s="462"/>
      <c r="Q8" s="463"/>
    </row>
    <row r="9" spans="1:15" ht="16.5" thickBot="1" thickTop="1">
      <c r="A9" s="177" t="s">
        <v>72</v>
      </c>
      <c r="B9" s="178"/>
      <c r="C9" s="121"/>
      <c r="D9" s="183">
        <v>174720</v>
      </c>
      <c r="E9" s="345">
        <v>0.012</v>
      </c>
      <c r="F9" s="184">
        <f>C9*1.2%</f>
        <v>0</v>
      </c>
      <c r="G9" s="185">
        <f aca="true" t="shared" si="0" ref="G9:G14">F9*5%</f>
        <v>0</v>
      </c>
      <c r="H9" s="168"/>
      <c r="I9" s="169"/>
      <c r="J9" s="169"/>
      <c r="K9" s="169"/>
      <c r="L9" s="169"/>
      <c r="M9" s="169"/>
      <c r="N9" s="169"/>
      <c r="O9" s="169"/>
    </row>
    <row r="10" spans="1:17" ht="15" customHeight="1">
      <c r="A10" s="179" t="s">
        <v>73</v>
      </c>
      <c r="B10" s="180">
        <f>+D9+1</f>
        <v>174721</v>
      </c>
      <c r="C10" s="122"/>
      <c r="D10" s="186">
        <v>436800</v>
      </c>
      <c r="E10" s="350">
        <v>0.0095</v>
      </c>
      <c r="F10" s="187">
        <f>(C10-B10)*0.95%+2096.64</f>
        <v>436.79049999999984</v>
      </c>
      <c r="G10" s="188">
        <f t="shared" si="0"/>
        <v>21.839524999999995</v>
      </c>
      <c r="H10" s="168"/>
      <c r="I10" s="169"/>
      <c r="J10" s="453" t="s">
        <v>142</v>
      </c>
      <c r="K10" s="454"/>
      <c r="L10" s="454"/>
      <c r="M10" s="454"/>
      <c r="N10" s="454"/>
      <c r="O10" s="454"/>
      <c r="P10" s="454"/>
      <c r="Q10" s="455"/>
    </row>
    <row r="11" spans="1:17" ht="15">
      <c r="A11" s="179" t="s">
        <v>73</v>
      </c>
      <c r="B11" s="180">
        <f>+D10+1</f>
        <v>436801</v>
      </c>
      <c r="C11" s="122"/>
      <c r="D11" s="186">
        <v>1344000</v>
      </c>
      <c r="E11" s="350">
        <v>0.008</v>
      </c>
      <c r="F11" s="187">
        <f>(C11-B11)*0.8%+4586.39</f>
        <v>1091.9820000000004</v>
      </c>
      <c r="G11" s="188">
        <f t="shared" si="0"/>
        <v>54.59910000000002</v>
      </c>
      <c r="H11" s="168"/>
      <c r="I11" s="169"/>
      <c r="J11" s="456"/>
      <c r="K11" s="445"/>
      <c r="L11" s="445"/>
      <c r="M11" s="445"/>
      <c r="N11" s="445"/>
      <c r="O11" s="445"/>
      <c r="P11" s="445"/>
      <c r="Q11" s="457"/>
    </row>
    <row r="12" spans="1:17" ht="15">
      <c r="A12" s="179" t="s">
        <v>73</v>
      </c>
      <c r="B12" s="180">
        <f>+D11+1</f>
        <v>1344001</v>
      </c>
      <c r="C12" s="122"/>
      <c r="D12" s="186">
        <v>4200000</v>
      </c>
      <c r="E12" s="350">
        <v>0.006</v>
      </c>
      <c r="F12" s="187">
        <f>(C12-B12)*0.6%+11843.98</f>
        <v>3779.9739999999993</v>
      </c>
      <c r="G12" s="188">
        <f t="shared" si="0"/>
        <v>188.99869999999999</v>
      </c>
      <c r="H12" s="168"/>
      <c r="I12" s="169"/>
      <c r="J12" s="456"/>
      <c r="K12" s="445"/>
      <c r="L12" s="445"/>
      <c r="M12" s="445"/>
      <c r="N12" s="445"/>
      <c r="O12" s="445"/>
      <c r="P12" s="445"/>
      <c r="Q12" s="457"/>
    </row>
    <row r="13" spans="1:17" ht="15">
      <c r="A13" s="179" t="s">
        <v>73</v>
      </c>
      <c r="B13" s="180">
        <f>+D12+1</f>
        <v>4200001</v>
      </c>
      <c r="C13" s="122"/>
      <c r="D13" s="186">
        <v>21772800</v>
      </c>
      <c r="E13" s="350">
        <v>0.005</v>
      </c>
      <c r="F13" s="187">
        <f>(C13-B13)*0.5%+28979.97</f>
        <v>7979.965</v>
      </c>
      <c r="G13" s="188">
        <f t="shared" si="0"/>
        <v>398.99825000000004</v>
      </c>
      <c r="H13" s="168"/>
      <c r="I13" s="169"/>
      <c r="J13" s="456"/>
      <c r="K13" s="445"/>
      <c r="L13" s="445"/>
      <c r="M13" s="445"/>
      <c r="N13" s="445"/>
      <c r="O13" s="445"/>
      <c r="P13" s="445"/>
      <c r="Q13" s="457"/>
    </row>
    <row r="14" spans="1:17" ht="15.75" thickBot="1">
      <c r="A14" s="181" t="s">
        <v>74</v>
      </c>
      <c r="B14" s="182">
        <f>+D13+1</f>
        <v>21772801</v>
      </c>
      <c r="C14" s="123"/>
      <c r="D14" s="189"/>
      <c r="E14" s="350">
        <v>0.004</v>
      </c>
      <c r="F14" s="190">
        <f>(C14-B14)*0.4%+116843.97</f>
        <v>29752.766000000003</v>
      </c>
      <c r="G14" s="191">
        <f t="shared" si="0"/>
        <v>1487.6383000000003</v>
      </c>
      <c r="H14" s="168"/>
      <c r="I14" s="169"/>
      <c r="J14" s="458"/>
      <c r="K14" s="459"/>
      <c r="L14" s="459"/>
      <c r="M14" s="459"/>
      <c r="N14" s="459"/>
      <c r="O14" s="459"/>
      <c r="P14" s="459"/>
      <c r="Q14" s="460"/>
    </row>
    <row r="15" spans="1:15" ht="12" customHeight="1" thickTop="1">
      <c r="A15" s="471"/>
      <c r="B15" s="471"/>
      <c r="C15" s="471"/>
      <c r="D15" s="471"/>
      <c r="E15" s="471"/>
      <c r="F15" s="471"/>
      <c r="G15" s="471"/>
      <c r="H15" s="168"/>
      <c r="I15" s="169"/>
      <c r="J15" s="169"/>
      <c r="K15" s="169"/>
      <c r="L15" s="169"/>
      <c r="M15" s="169"/>
      <c r="N15" s="169"/>
      <c r="O15" s="169"/>
    </row>
    <row r="16" spans="1:15" ht="14.25" customHeight="1">
      <c r="A16" s="279"/>
      <c r="B16" s="279"/>
      <c r="C16" s="279"/>
      <c r="D16" s="279"/>
      <c r="E16" s="279"/>
      <c r="F16" s="279"/>
      <c r="G16" s="279"/>
      <c r="H16" s="168"/>
      <c r="I16" s="169"/>
      <c r="J16" s="169"/>
      <c r="K16" s="169"/>
      <c r="L16" s="169"/>
      <c r="M16" s="169"/>
      <c r="N16" s="169"/>
      <c r="O16" s="169"/>
    </row>
    <row r="17" spans="6:15" ht="12" customHeight="1" thickBot="1">
      <c r="F17" s="279"/>
      <c r="G17" s="279"/>
      <c r="H17" s="168"/>
      <c r="I17" s="169"/>
      <c r="J17" s="169"/>
      <c r="K17" s="169"/>
      <c r="L17" s="169"/>
      <c r="M17" s="169"/>
      <c r="N17" s="169"/>
      <c r="O17" s="169"/>
    </row>
    <row r="18" spans="2:17" ht="14.25" customHeight="1" thickBot="1">
      <c r="B18" s="168"/>
      <c r="C18" s="168"/>
      <c r="D18" s="227" t="s">
        <v>46</v>
      </c>
      <c r="E18" s="227"/>
      <c r="F18" s="279"/>
      <c r="G18" s="279"/>
      <c r="H18" s="168"/>
      <c r="I18" s="169"/>
      <c r="J18" s="416" t="s">
        <v>147</v>
      </c>
      <c r="K18" s="417"/>
      <c r="L18" s="417"/>
      <c r="M18" s="417"/>
      <c r="N18" s="417"/>
      <c r="O18" s="450"/>
      <c r="P18" s="280"/>
      <c r="Q18" s="280"/>
    </row>
    <row r="19" spans="1:17" ht="30" customHeight="1" thickBot="1" thickTop="1">
      <c r="A19" s="278" t="s">
        <v>130</v>
      </c>
      <c r="B19" s="230" t="s">
        <v>47</v>
      </c>
      <c r="C19" s="312"/>
      <c r="D19" s="235">
        <f>C19*5/100</f>
        <v>0</v>
      </c>
      <c r="E19" s="315"/>
      <c r="F19" s="279"/>
      <c r="G19" s="279"/>
      <c r="H19" s="168"/>
      <c r="I19" s="169"/>
      <c r="J19" s="418"/>
      <c r="K19" s="419"/>
      <c r="L19" s="419"/>
      <c r="M19" s="419"/>
      <c r="N19" s="419"/>
      <c r="O19" s="451"/>
      <c r="P19" s="280"/>
      <c r="Q19" s="280"/>
    </row>
    <row r="20" spans="1:17" ht="12" customHeight="1" thickTop="1">
      <c r="A20" s="279"/>
      <c r="B20" s="279"/>
      <c r="C20" s="279"/>
      <c r="D20" s="279"/>
      <c r="E20" s="279"/>
      <c r="F20" s="279"/>
      <c r="G20" s="279"/>
      <c r="H20" s="168"/>
      <c r="I20" s="169"/>
      <c r="J20" s="418"/>
      <c r="K20" s="419"/>
      <c r="L20" s="419"/>
      <c r="M20" s="419"/>
      <c r="N20" s="419"/>
      <c r="O20" s="451"/>
      <c r="P20" s="280"/>
      <c r="Q20" s="280"/>
    </row>
    <row r="21" spans="1:17" ht="12" customHeight="1" thickBot="1">
      <c r="A21" s="279"/>
      <c r="B21" s="279"/>
      <c r="C21" s="279"/>
      <c r="D21" s="279"/>
      <c r="E21" s="279"/>
      <c r="F21" s="279"/>
      <c r="G21" s="279"/>
      <c r="H21" s="168"/>
      <c r="I21" s="169"/>
      <c r="J21" s="420"/>
      <c r="K21" s="421"/>
      <c r="L21" s="421"/>
      <c r="M21" s="421"/>
      <c r="N21" s="421"/>
      <c r="O21" s="452"/>
      <c r="P21" s="280"/>
      <c r="Q21" s="280"/>
    </row>
    <row r="22" spans="1:15" ht="12" customHeight="1">
      <c r="A22" s="279"/>
      <c r="B22" s="311"/>
      <c r="C22" s="279"/>
      <c r="D22" s="279"/>
      <c r="E22" s="279"/>
      <c r="F22" s="279"/>
      <c r="G22" s="279"/>
      <c r="H22" s="168"/>
      <c r="I22" s="169"/>
      <c r="J22" s="169"/>
      <c r="K22" s="169"/>
      <c r="L22" s="169"/>
      <c r="M22" s="169"/>
      <c r="N22" s="169"/>
      <c r="O22" s="169"/>
    </row>
    <row r="23" spans="1:15" ht="12" customHeight="1" thickBot="1">
      <c r="A23" s="279"/>
      <c r="B23" s="279"/>
      <c r="C23" s="279"/>
      <c r="D23" s="279"/>
      <c r="E23" s="279"/>
      <c r="F23" s="279"/>
      <c r="G23" s="279"/>
      <c r="H23" s="168"/>
      <c r="I23" s="169"/>
      <c r="J23" s="169"/>
      <c r="K23" s="169"/>
      <c r="L23" s="169"/>
      <c r="M23" s="169"/>
      <c r="N23" s="169"/>
      <c r="O23" s="169"/>
    </row>
    <row r="24" spans="1:15" ht="30.75" customHeight="1" thickBot="1">
      <c r="A24" s="466" t="s">
        <v>51</v>
      </c>
      <c r="B24" s="467"/>
      <c r="C24" s="467"/>
      <c r="D24" s="467"/>
      <c r="E24" s="467"/>
      <c r="F24" s="467"/>
      <c r="G24" s="468"/>
      <c r="H24" s="168"/>
      <c r="I24" s="169"/>
      <c r="J24" s="169"/>
      <c r="K24" s="169"/>
      <c r="L24" s="169"/>
      <c r="M24" s="169"/>
      <c r="N24" s="169"/>
      <c r="O24" s="169"/>
    </row>
    <row r="25" spans="1:17" ht="48" customHeight="1" thickBot="1">
      <c r="A25" s="472" t="s">
        <v>52</v>
      </c>
      <c r="B25" s="473"/>
      <c r="C25" s="473"/>
      <c r="D25" s="473"/>
      <c r="E25" s="333" t="s">
        <v>184</v>
      </c>
      <c r="F25" s="297" t="s">
        <v>41</v>
      </c>
      <c r="G25" s="299" t="s">
        <v>42</v>
      </c>
      <c r="H25" s="168"/>
      <c r="I25" s="169"/>
      <c r="J25" s="461" t="s">
        <v>78</v>
      </c>
      <c r="K25" s="462"/>
      <c r="L25" s="462"/>
      <c r="M25" s="462"/>
      <c r="N25" s="462"/>
      <c r="O25" s="462"/>
      <c r="P25" s="462"/>
      <c r="Q25" s="463"/>
    </row>
    <row r="26" spans="1:15" ht="15.75" customHeight="1" thickBot="1" thickTop="1">
      <c r="A26" s="177" t="s">
        <v>43</v>
      </c>
      <c r="B26" s="192"/>
      <c r="C26" s="121"/>
      <c r="D26" s="183">
        <v>174720</v>
      </c>
      <c r="E26" s="345">
        <v>0.012</v>
      </c>
      <c r="F26" s="184">
        <f>C26*0.9%</f>
        <v>0</v>
      </c>
      <c r="G26" s="195">
        <f aca="true" t="shared" si="1" ref="G26:G31">F26*5%</f>
        <v>0</v>
      </c>
      <c r="H26" s="168"/>
      <c r="I26" s="169"/>
      <c r="J26" s="169"/>
      <c r="K26" s="169"/>
      <c r="L26" s="169"/>
      <c r="M26" s="169"/>
      <c r="N26" s="169"/>
      <c r="O26" s="169"/>
    </row>
    <row r="27" spans="1:17" ht="15" customHeight="1">
      <c r="A27" s="179" t="s">
        <v>44</v>
      </c>
      <c r="B27" s="193">
        <f>+D26+1</f>
        <v>174721</v>
      </c>
      <c r="C27" s="124"/>
      <c r="D27" s="186">
        <v>436800</v>
      </c>
      <c r="E27" s="350">
        <v>0.0095</v>
      </c>
      <c r="F27" s="187">
        <f>(C27-B27)*0.7%+1572.48</f>
        <v>349.4330000000002</v>
      </c>
      <c r="G27" s="197">
        <f t="shared" si="1"/>
        <v>17.47165000000001</v>
      </c>
      <c r="H27" s="168"/>
      <c r="I27" s="169"/>
      <c r="J27" s="453" t="s">
        <v>142</v>
      </c>
      <c r="K27" s="454"/>
      <c r="L27" s="454"/>
      <c r="M27" s="454"/>
      <c r="N27" s="454"/>
      <c r="O27" s="454"/>
      <c r="P27" s="454"/>
      <c r="Q27" s="455"/>
    </row>
    <row r="28" spans="1:17" ht="15">
      <c r="A28" s="179" t="s">
        <v>44</v>
      </c>
      <c r="B28" s="193">
        <f>+D27+1</f>
        <v>436801</v>
      </c>
      <c r="C28" s="124"/>
      <c r="D28" s="186">
        <v>1344000</v>
      </c>
      <c r="E28" s="350">
        <v>0.008</v>
      </c>
      <c r="F28" s="187">
        <f>(C28-B28)*0.6%+3407.03</f>
        <v>786.2240000000002</v>
      </c>
      <c r="G28" s="197">
        <f t="shared" si="1"/>
        <v>39.311200000000014</v>
      </c>
      <c r="H28" s="168"/>
      <c r="I28" s="169"/>
      <c r="J28" s="456"/>
      <c r="K28" s="445"/>
      <c r="L28" s="445"/>
      <c r="M28" s="445"/>
      <c r="N28" s="445"/>
      <c r="O28" s="445"/>
      <c r="P28" s="445"/>
      <c r="Q28" s="457"/>
    </row>
    <row r="29" spans="1:17" ht="15">
      <c r="A29" s="179" t="s">
        <v>44</v>
      </c>
      <c r="B29" s="193">
        <f>+D28+1</f>
        <v>1344001</v>
      </c>
      <c r="C29" s="124"/>
      <c r="D29" s="186">
        <v>4200000</v>
      </c>
      <c r="E29" s="350">
        <v>0.006</v>
      </c>
      <c r="F29" s="187">
        <f>(C29-B29)*0.45%+8850.22</f>
        <v>2802.2154999999984</v>
      </c>
      <c r="G29" s="197">
        <f t="shared" si="1"/>
        <v>140.11077499999993</v>
      </c>
      <c r="H29" s="168"/>
      <c r="I29" s="198"/>
      <c r="J29" s="456"/>
      <c r="K29" s="445"/>
      <c r="L29" s="445"/>
      <c r="M29" s="445"/>
      <c r="N29" s="445"/>
      <c r="O29" s="445"/>
      <c r="P29" s="445"/>
      <c r="Q29" s="457"/>
    </row>
    <row r="30" spans="1:17" ht="15">
      <c r="A30" s="179" t="s">
        <v>44</v>
      </c>
      <c r="B30" s="193">
        <f>+D29+1</f>
        <v>4200001</v>
      </c>
      <c r="C30" s="124"/>
      <c r="D30" s="186">
        <v>21772800</v>
      </c>
      <c r="E30" s="350">
        <v>0.005</v>
      </c>
      <c r="F30" s="187">
        <f>(C30-B30)*0.41%+21702.22</f>
        <v>4482.215900000003</v>
      </c>
      <c r="G30" s="197">
        <f t="shared" si="1"/>
        <v>224.11079500000017</v>
      </c>
      <c r="H30" s="168"/>
      <c r="I30" s="169"/>
      <c r="J30" s="456"/>
      <c r="K30" s="445"/>
      <c r="L30" s="445"/>
      <c r="M30" s="445"/>
      <c r="N30" s="445"/>
      <c r="O30" s="445"/>
      <c r="P30" s="445"/>
      <c r="Q30" s="457"/>
    </row>
    <row r="31" spans="1:17" ht="15.75" thickBot="1">
      <c r="A31" s="181" t="s">
        <v>45</v>
      </c>
      <c r="B31" s="194">
        <f>+D30+1</f>
        <v>21772801</v>
      </c>
      <c r="C31" s="125"/>
      <c r="D31" s="199"/>
      <c r="E31" s="350">
        <v>0.004</v>
      </c>
      <c r="F31" s="190">
        <f>(C31-B31)*0.36%+93750.7</f>
        <v>15368.616399999999</v>
      </c>
      <c r="G31" s="200">
        <f t="shared" si="1"/>
        <v>768.43082</v>
      </c>
      <c r="H31" s="168"/>
      <c r="I31" s="169"/>
      <c r="J31" s="458"/>
      <c r="K31" s="459"/>
      <c r="L31" s="459"/>
      <c r="M31" s="459"/>
      <c r="N31" s="459"/>
      <c r="O31" s="459"/>
      <c r="P31" s="459"/>
      <c r="Q31" s="460"/>
    </row>
    <row r="32" spans="1:17" ht="12" customHeight="1" thickTop="1">
      <c r="A32" s="201"/>
      <c r="B32" s="202"/>
      <c r="C32" s="203"/>
      <c r="D32" s="201"/>
      <c r="E32" s="201"/>
      <c r="F32" s="204"/>
      <c r="G32" s="204"/>
      <c r="H32" s="168"/>
      <c r="I32" s="169"/>
      <c r="J32" s="169"/>
      <c r="K32" s="169"/>
      <c r="L32" s="169"/>
      <c r="M32" s="169"/>
      <c r="N32" s="169"/>
      <c r="O32" s="169"/>
      <c r="P32" s="169"/>
      <c r="Q32" s="169"/>
    </row>
    <row r="33" spans="1:17" ht="12" customHeight="1">
      <c r="A33" s="201"/>
      <c r="B33" s="202"/>
      <c r="C33" s="203"/>
      <c r="D33" s="201"/>
      <c r="E33" s="201"/>
      <c r="F33" s="204"/>
      <c r="G33" s="204"/>
      <c r="H33" s="168"/>
      <c r="I33" s="169"/>
      <c r="J33" s="169"/>
      <c r="K33" s="169"/>
      <c r="L33" s="169"/>
      <c r="M33" s="169"/>
      <c r="N33" s="169"/>
      <c r="O33" s="169"/>
      <c r="P33" s="169"/>
      <c r="Q33" s="169"/>
    </row>
    <row r="34" spans="6:17" ht="12" customHeight="1" thickBot="1">
      <c r="F34" s="279"/>
      <c r="G34" s="279"/>
      <c r="H34" s="168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2:17" ht="12" customHeight="1" thickBot="1">
      <c r="B35" s="168"/>
      <c r="C35" s="168"/>
      <c r="D35" s="227" t="s">
        <v>46</v>
      </c>
      <c r="E35" s="227"/>
      <c r="F35" s="279"/>
      <c r="G35" s="279"/>
      <c r="H35" s="168"/>
      <c r="I35" s="169"/>
      <c r="J35" s="416" t="s">
        <v>147</v>
      </c>
      <c r="K35" s="417"/>
      <c r="L35" s="417"/>
      <c r="M35" s="417"/>
      <c r="N35" s="417"/>
      <c r="O35" s="450"/>
      <c r="P35" s="169"/>
      <c r="Q35" s="169"/>
    </row>
    <row r="36" spans="1:17" ht="32.25" customHeight="1" thickBot="1" thickTop="1">
      <c r="A36" s="278" t="s">
        <v>132</v>
      </c>
      <c r="B36" s="230" t="s">
        <v>47</v>
      </c>
      <c r="C36" s="312"/>
      <c r="D36" s="235">
        <f>C36*5/100</f>
        <v>0</v>
      </c>
      <c r="E36" s="315"/>
      <c r="F36" s="279"/>
      <c r="G36" s="279"/>
      <c r="H36" s="168"/>
      <c r="I36" s="169"/>
      <c r="J36" s="418"/>
      <c r="K36" s="419"/>
      <c r="L36" s="419"/>
      <c r="M36" s="419"/>
      <c r="N36" s="419"/>
      <c r="O36" s="451"/>
      <c r="P36" s="169"/>
      <c r="Q36" s="169"/>
    </row>
    <row r="37" spans="1:17" ht="12" customHeight="1" thickTop="1">
      <c r="A37" s="279"/>
      <c r="B37" s="279"/>
      <c r="C37" s="279"/>
      <c r="D37" s="279"/>
      <c r="E37" s="279"/>
      <c r="F37" s="279"/>
      <c r="G37" s="279"/>
      <c r="H37" s="168"/>
      <c r="I37" s="169"/>
      <c r="J37" s="418"/>
      <c r="K37" s="419"/>
      <c r="L37" s="419"/>
      <c r="M37" s="419"/>
      <c r="N37" s="419"/>
      <c r="O37" s="451"/>
      <c r="P37" s="169"/>
      <c r="Q37" s="169"/>
    </row>
    <row r="38" spans="1:17" ht="12" customHeight="1" thickBot="1">
      <c r="A38" s="279"/>
      <c r="B38" s="279"/>
      <c r="C38" s="279"/>
      <c r="D38" s="279"/>
      <c r="E38" s="279"/>
      <c r="F38" s="279"/>
      <c r="G38" s="279"/>
      <c r="H38" s="168"/>
      <c r="I38" s="169"/>
      <c r="J38" s="420"/>
      <c r="K38" s="421"/>
      <c r="L38" s="421"/>
      <c r="M38" s="421"/>
      <c r="N38" s="421"/>
      <c r="O38" s="452"/>
      <c r="P38" s="169"/>
      <c r="Q38" s="169"/>
    </row>
    <row r="39" spans="1:17" ht="23.25" customHeight="1" thickBot="1">
      <c r="A39" s="279"/>
      <c r="B39" s="279"/>
      <c r="C39" s="279"/>
      <c r="D39" s="279"/>
      <c r="E39" s="279"/>
      <c r="F39" s="279"/>
      <c r="G39" s="279"/>
      <c r="H39" s="168"/>
      <c r="I39" s="169"/>
      <c r="J39" s="316"/>
      <c r="K39" s="316"/>
      <c r="L39" s="316"/>
      <c r="M39" s="316"/>
      <c r="N39" s="316"/>
      <c r="O39" s="316"/>
      <c r="P39" s="169"/>
      <c r="Q39" s="169"/>
    </row>
    <row r="40" spans="1:17" ht="30.75" customHeight="1" thickBot="1">
      <c r="A40" s="466" t="s">
        <v>161</v>
      </c>
      <c r="B40" s="467"/>
      <c r="C40" s="467"/>
      <c r="D40" s="467"/>
      <c r="E40" s="467"/>
      <c r="F40" s="467"/>
      <c r="G40" s="468"/>
      <c r="H40" s="168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ht="48" customHeight="1" thickBot="1">
      <c r="A41" s="436" t="s">
        <v>163</v>
      </c>
      <c r="B41" s="437"/>
      <c r="C41" s="437"/>
      <c r="D41" s="437"/>
      <c r="E41" s="332" t="s">
        <v>184</v>
      </c>
      <c r="F41" s="318" t="s">
        <v>41</v>
      </c>
      <c r="G41" s="319" t="s">
        <v>42</v>
      </c>
      <c r="H41" s="168"/>
      <c r="I41" s="169"/>
      <c r="J41" s="438" t="s">
        <v>113</v>
      </c>
      <c r="K41" s="439"/>
      <c r="L41" s="439"/>
      <c r="M41" s="439"/>
      <c r="N41" s="439"/>
      <c r="O41" s="439"/>
      <c r="P41" s="439"/>
      <c r="Q41" s="440"/>
    </row>
    <row r="42" spans="1:17" ht="12" customHeight="1" thickBot="1" thickTop="1">
      <c r="A42" s="265"/>
      <c r="B42" s="265"/>
      <c r="C42" s="265"/>
      <c r="D42" s="265"/>
      <c r="E42" s="265"/>
      <c r="F42" s="270"/>
      <c r="G42" s="270"/>
      <c r="H42" s="168"/>
      <c r="I42" s="169"/>
      <c r="J42" s="313"/>
      <c r="K42" s="313"/>
      <c r="L42" s="313"/>
      <c r="M42" s="313"/>
      <c r="N42" s="313"/>
      <c r="O42" s="313"/>
      <c r="P42" s="313"/>
      <c r="Q42" s="313"/>
    </row>
    <row r="43" spans="1:17" ht="16.5" customHeight="1" thickTop="1">
      <c r="A43" s="177" t="s">
        <v>43</v>
      </c>
      <c r="B43" s="205" t="s">
        <v>54</v>
      </c>
      <c r="C43" s="126"/>
      <c r="D43" s="336"/>
      <c r="E43" s="342"/>
      <c r="F43" s="206">
        <f>C43*7%</f>
        <v>0</v>
      </c>
      <c r="G43" s="207">
        <f>F43*2.5%</f>
        <v>0</v>
      </c>
      <c r="H43" s="168"/>
      <c r="I43" s="169"/>
      <c r="J43" s="314"/>
      <c r="K43" s="314"/>
      <c r="L43" s="314"/>
      <c r="M43" s="314"/>
      <c r="N43" s="314"/>
      <c r="O43" s="314"/>
      <c r="P43" s="314"/>
      <c r="Q43" s="314"/>
    </row>
    <row r="44" spans="1:17" ht="16.5" customHeight="1">
      <c r="A44" s="266" t="s">
        <v>43</v>
      </c>
      <c r="B44" s="267"/>
      <c r="C44" s="268"/>
      <c r="D44" s="269">
        <v>1048320</v>
      </c>
      <c r="E44" s="343">
        <v>0.09</v>
      </c>
      <c r="F44" s="208">
        <f>C44*9%</f>
        <v>0</v>
      </c>
      <c r="G44" s="209">
        <f>F44*5%</f>
        <v>0</v>
      </c>
      <c r="H44" s="168"/>
      <c r="I44" s="169"/>
      <c r="J44" s="441" t="s">
        <v>143</v>
      </c>
      <c r="K44" s="442"/>
      <c r="L44" s="442"/>
      <c r="M44" s="442"/>
      <c r="N44" s="442"/>
      <c r="O44" s="442"/>
      <c r="P44" s="442"/>
      <c r="Q44" s="443"/>
    </row>
    <row r="45" spans="1:17" ht="16.5" customHeight="1">
      <c r="A45" s="179" t="s">
        <v>44</v>
      </c>
      <c r="B45" s="193">
        <f>+D44+1</f>
        <v>1048321</v>
      </c>
      <c r="C45" s="127"/>
      <c r="D45" s="196">
        <v>4200000</v>
      </c>
      <c r="E45" s="343">
        <v>0.07</v>
      </c>
      <c r="F45" s="208">
        <f>(C45-B45)*7%+94348.8</f>
        <v>20966.33</v>
      </c>
      <c r="G45" s="209">
        <f>F45*5%</f>
        <v>1048.3165000000001</v>
      </c>
      <c r="H45" s="168"/>
      <c r="I45" s="169"/>
      <c r="J45" s="444"/>
      <c r="K45" s="445"/>
      <c r="L45" s="445"/>
      <c r="M45" s="445"/>
      <c r="N45" s="445"/>
      <c r="O45" s="445"/>
      <c r="P45" s="445"/>
      <c r="Q45" s="446"/>
    </row>
    <row r="46" spans="1:17" ht="16.5" customHeight="1">
      <c r="A46" s="179" t="s">
        <v>44</v>
      </c>
      <c r="B46" s="193">
        <f>+D45+1</f>
        <v>4200001</v>
      </c>
      <c r="C46" s="127"/>
      <c r="D46" s="196">
        <v>8870400</v>
      </c>
      <c r="E46" s="343">
        <v>0.06</v>
      </c>
      <c r="F46" s="208">
        <f>(C46-B46)*6%+314966.33</f>
        <v>62966.27000000002</v>
      </c>
      <c r="G46" s="209">
        <f>F46*5%</f>
        <v>3148.313500000001</v>
      </c>
      <c r="H46" s="168"/>
      <c r="I46" s="169"/>
      <c r="J46" s="444"/>
      <c r="K46" s="445"/>
      <c r="L46" s="445"/>
      <c r="M46" s="445"/>
      <c r="N46" s="445"/>
      <c r="O46" s="445"/>
      <c r="P46" s="445"/>
      <c r="Q46" s="446"/>
    </row>
    <row r="47" spans="1:17" ht="16.5" customHeight="1" thickBot="1">
      <c r="A47" s="181" t="s">
        <v>45</v>
      </c>
      <c r="B47" s="194">
        <f>+D46+1</f>
        <v>8870401</v>
      </c>
      <c r="C47" s="128"/>
      <c r="D47" s="199"/>
      <c r="E47" s="344">
        <v>0.05</v>
      </c>
      <c r="F47" s="210">
        <f>(C47-B47)*5%+595190.27</f>
        <v>151670.21999999997</v>
      </c>
      <c r="G47" s="211">
        <f>F47*5%</f>
        <v>7583.510999999999</v>
      </c>
      <c r="H47" s="168"/>
      <c r="I47" s="169"/>
      <c r="J47" s="447"/>
      <c r="K47" s="448"/>
      <c r="L47" s="448"/>
      <c r="M47" s="448"/>
      <c r="N47" s="448"/>
      <c r="O47" s="448"/>
      <c r="P47" s="448"/>
      <c r="Q47" s="449"/>
    </row>
    <row r="48" spans="1:17" ht="12" customHeight="1" thickTop="1">
      <c r="A48" s="201"/>
      <c r="B48" s="202"/>
      <c r="C48" s="203"/>
      <c r="D48" s="201"/>
      <c r="E48" s="201"/>
      <c r="F48" s="204"/>
      <c r="G48" s="204"/>
      <c r="H48" s="212"/>
      <c r="I48" s="213"/>
      <c r="J48" s="214"/>
      <c r="K48" s="214"/>
      <c r="L48" s="214"/>
      <c r="M48" s="214"/>
      <c r="N48" s="214"/>
      <c r="O48" s="214"/>
      <c r="P48" s="214"/>
      <c r="Q48" s="214"/>
    </row>
    <row r="49" spans="1:17" ht="12" customHeight="1">
      <c r="A49" s="281"/>
      <c r="B49" s="281"/>
      <c r="C49" s="281"/>
      <c r="D49" s="281"/>
      <c r="E49" s="281"/>
      <c r="F49" s="281"/>
      <c r="G49" s="281"/>
      <c r="H49" s="212"/>
      <c r="I49" s="213"/>
      <c r="J49" s="214"/>
      <c r="K49" s="214"/>
      <c r="L49" s="214"/>
      <c r="M49" s="214"/>
      <c r="N49" s="214"/>
      <c r="O49" s="214"/>
      <c r="P49" s="214"/>
      <c r="Q49" s="214"/>
    </row>
    <row r="50" spans="1:17" ht="12" customHeight="1" thickBot="1">
      <c r="A50" s="281"/>
      <c r="B50" s="281"/>
      <c r="C50" s="281"/>
      <c r="D50" s="281"/>
      <c r="E50" s="281"/>
      <c r="F50" s="281"/>
      <c r="G50" s="281"/>
      <c r="H50" s="212"/>
      <c r="I50" s="213"/>
      <c r="J50" s="214"/>
      <c r="K50" s="214"/>
      <c r="L50" s="214"/>
      <c r="M50" s="214"/>
      <c r="N50" s="214"/>
      <c r="O50" s="214"/>
      <c r="P50" s="214"/>
      <c r="Q50" s="214"/>
    </row>
    <row r="51" spans="2:17" ht="16.5" customHeight="1" thickBot="1">
      <c r="B51" s="168"/>
      <c r="C51" s="168"/>
      <c r="D51" s="227" t="s">
        <v>46</v>
      </c>
      <c r="E51" s="227"/>
      <c r="F51" s="279"/>
      <c r="G51" s="279"/>
      <c r="H51" s="168"/>
      <c r="I51" s="169"/>
      <c r="J51" s="416" t="s">
        <v>147</v>
      </c>
      <c r="K51" s="417"/>
      <c r="L51" s="417"/>
      <c r="M51" s="417"/>
      <c r="N51" s="417"/>
      <c r="O51" s="450"/>
      <c r="P51" s="214"/>
      <c r="Q51" s="214"/>
    </row>
    <row r="52" spans="1:17" ht="33" customHeight="1" thickBot="1" thickTop="1">
      <c r="A52" s="278" t="s">
        <v>164</v>
      </c>
      <c r="B52" s="230" t="s">
        <v>47</v>
      </c>
      <c r="C52" s="312"/>
      <c r="D52" s="235">
        <f>C52*5/100</f>
        <v>0</v>
      </c>
      <c r="E52" s="315"/>
      <c r="F52" s="279"/>
      <c r="G52" s="279"/>
      <c r="H52" s="168"/>
      <c r="I52" s="169"/>
      <c r="J52" s="418"/>
      <c r="K52" s="419"/>
      <c r="L52" s="419"/>
      <c r="M52" s="419"/>
      <c r="N52" s="419"/>
      <c r="O52" s="451"/>
      <c r="P52" s="214"/>
      <c r="Q52" s="214"/>
    </row>
    <row r="53" spans="1:17" ht="12" customHeight="1" thickTop="1">
      <c r="A53" s="282"/>
      <c r="B53" s="279"/>
      <c r="C53" s="315"/>
      <c r="D53" s="315"/>
      <c r="E53" s="315"/>
      <c r="F53" s="279"/>
      <c r="G53" s="279"/>
      <c r="H53" s="168"/>
      <c r="I53" s="169"/>
      <c r="J53" s="418"/>
      <c r="K53" s="419"/>
      <c r="L53" s="419"/>
      <c r="M53" s="419"/>
      <c r="N53" s="419"/>
      <c r="O53" s="451"/>
      <c r="P53" s="214"/>
      <c r="Q53" s="214"/>
    </row>
    <row r="54" spans="1:17" ht="12" customHeight="1" thickBot="1">
      <c r="A54" s="282"/>
      <c r="B54" s="279"/>
      <c r="C54" s="315"/>
      <c r="D54" s="315"/>
      <c r="E54" s="315"/>
      <c r="F54" s="279"/>
      <c r="G54" s="279"/>
      <c r="H54" s="168"/>
      <c r="I54" s="169"/>
      <c r="J54" s="420"/>
      <c r="K54" s="421"/>
      <c r="L54" s="421"/>
      <c r="M54" s="421"/>
      <c r="N54" s="421"/>
      <c r="O54" s="452"/>
      <c r="P54" s="214"/>
      <c r="Q54" s="214"/>
    </row>
    <row r="55" spans="1:17" ht="18.75" customHeight="1">
      <c r="A55" s="282"/>
      <c r="B55" s="279"/>
      <c r="C55" s="315"/>
      <c r="D55" s="315"/>
      <c r="E55" s="315"/>
      <c r="F55" s="279"/>
      <c r="G55" s="279"/>
      <c r="H55" s="168"/>
      <c r="I55" s="169"/>
      <c r="J55" s="316"/>
      <c r="K55" s="316"/>
      <c r="L55" s="316"/>
      <c r="M55" s="316"/>
      <c r="N55" s="316"/>
      <c r="O55" s="316"/>
      <c r="P55" s="214"/>
      <c r="Q55" s="214"/>
    </row>
    <row r="56" spans="1:17" ht="18" customHeight="1">
      <c r="A56" s="282"/>
      <c r="B56" s="279"/>
      <c r="C56" s="315"/>
      <c r="D56" s="315"/>
      <c r="E56" s="315"/>
      <c r="F56" s="279"/>
      <c r="G56" s="279"/>
      <c r="H56" s="168"/>
      <c r="I56" s="169"/>
      <c r="J56" s="316"/>
      <c r="K56" s="316"/>
      <c r="L56" s="316"/>
      <c r="M56" s="316"/>
      <c r="N56" s="316"/>
      <c r="O56" s="316"/>
      <c r="P56" s="214"/>
      <c r="Q56" s="214"/>
    </row>
    <row r="57" spans="1:17" ht="18" customHeight="1" thickBot="1">
      <c r="A57" s="282"/>
      <c r="B57" s="279"/>
      <c r="C57" s="315"/>
      <c r="D57" s="315"/>
      <c r="E57" s="315"/>
      <c r="F57" s="279"/>
      <c r="G57" s="279"/>
      <c r="H57" s="168"/>
      <c r="I57" s="169"/>
      <c r="J57" s="316"/>
      <c r="K57" s="316"/>
      <c r="L57" s="316"/>
      <c r="M57" s="316"/>
      <c r="N57" s="316"/>
      <c r="O57" s="316"/>
      <c r="P57" s="214"/>
      <c r="Q57" s="214"/>
    </row>
    <row r="58" spans="1:17" ht="30.75" customHeight="1" thickBot="1">
      <c r="A58" s="466" t="s">
        <v>162</v>
      </c>
      <c r="B58" s="467"/>
      <c r="C58" s="467"/>
      <c r="D58" s="467"/>
      <c r="E58" s="467"/>
      <c r="F58" s="467"/>
      <c r="G58" s="468"/>
      <c r="H58" s="168"/>
      <c r="I58" s="169"/>
      <c r="J58" s="169"/>
      <c r="K58" s="169"/>
      <c r="L58" s="169"/>
      <c r="M58" s="169"/>
      <c r="N58" s="169"/>
      <c r="O58" s="169"/>
      <c r="P58" s="169"/>
      <c r="Q58" s="169"/>
    </row>
    <row r="59" spans="1:17" ht="48" customHeight="1" thickBot="1">
      <c r="A59" s="474" t="s">
        <v>77</v>
      </c>
      <c r="B59" s="475"/>
      <c r="C59" s="475"/>
      <c r="D59" s="475"/>
      <c r="E59" s="334"/>
      <c r="F59" s="300" t="s">
        <v>41</v>
      </c>
      <c r="G59" s="301" t="s">
        <v>42</v>
      </c>
      <c r="H59" s="168"/>
      <c r="I59" s="169"/>
      <c r="J59" s="438" t="s">
        <v>113</v>
      </c>
      <c r="K59" s="439"/>
      <c r="L59" s="439"/>
      <c r="M59" s="439"/>
      <c r="N59" s="439"/>
      <c r="O59" s="439"/>
      <c r="P59" s="439"/>
      <c r="Q59" s="440"/>
    </row>
    <row r="60" spans="1:17" ht="12" customHeight="1" thickBot="1" thickTop="1">
      <c r="A60" s="265"/>
      <c r="B60" s="265"/>
      <c r="C60" s="265"/>
      <c r="D60" s="265"/>
      <c r="E60" s="265"/>
      <c r="F60" s="270"/>
      <c r="G60" s="270"/>
      <c r="H60" s="168"/>
      <c r="I60" s="169"/>
      <c r="J60" s="313"/>
      <c r="K60" s="313"/>
      <c r="L60" s="313"/>
      <c r="M60" s="313"/>
      <c r="N60" s="313"/>
      <c r="O60" s="313"/>
      <c r="P60" s="313"/>
      <c r="Q60" s="313"/>
    </row>
    <row r="61" spans="1:17" ht="21.75" customHeight="1" thickTop="1">
      <c r="A61" s="177" t="s">
        <v>43</v>
      </c>
      <c r="B61" s="205" t="s">
        <v>54</v>
      </c>
      <c r="C61" s="126"/>
      <c r="D61" s="277"/>
      <c r="E61" s="343">
        <v>0.07</v>
      </c>
      <c r="F61" s="206">
        <f>C61*7%</f>
        <v>0</v>
      </c>
      <c r="G61" s="207">
        <f>F61*2.5%</f>
        <v>0</v>
      </c>
      <c r="H61" s="168"/>
      <c r="I61" s="169"/>
      <c r="J61" s="314"/>
      <c r="K61" s="314"/>
      <c r="L61" s="314"/>
      <c r="M61" s="314"/>
      <c r="N61" s="314"/>
      <c r="O61" s="314"/>
      <c r="P61" s="314"/>
      <c r="Q61" s="314"/>
    </row>
    <row r="62" spans="1:17" ht="16.5" customHeight="1">
      <c r="A62" s="266" t="s">
        <v>43</v>
      </c>
      <c r="B62" s="267"/>
      <c r="C62" s="268"/>
      <c r="D62" s="269">
        <v>1048320</v>
      </c>
      <c r="E62" s="343">
        <v>0.09</v>
      </c>
      <c r="F62" s="208">
        <f>C62*9%</f>
        <v>0</v>
      </c>
      <c r="G62" s="209">
        <f>F62*5%</f>
        <v>0</v>
      </c>
      <c r="H62" s="168"/>
      <c r="I62" s="169"/>
      <c r="J62" s="441" t="s">
        <v>143</v>
      </c>
      <c r="K62" s="442"/>
      <c r="L62" s="442"/>
      <c r="M62" s="442"/>
      <c r="N62" s="442"/>
      <c r="O62" s="442"/>
      <c r="P62" s="442"/>
      <c r="Q62" s="443"/>
    </row>
    <row r="63" spans="1:17" ht="16.5" customHeight="1">
      <c r="A63" s="179" t="s">
        <v>44</v>
      </c>
      <c r="B63" s="193">
        <f>+D62+1</f>
        <v>1048321</v>
      </c>
      <c r="C63" s="127"/>
      <c r="D63" s="196">
        <v>4200000</v>
      </c>
      <c r="E63" s="343">
        <v>0.07</v>
      </c>
      <c r="F63" s="208">
        <f>(C63-B63)*7%+94348.8</f>
        <v>20966.33</v>
      </c>
      <c r="G63" s="209">
        <f>F63*5%</f>
        <v>1048.3165000000001</v>
      </c>
      <c r="H63" s="168"/>
      <c r="I63" s="169"/>
      <c r="J63" s="444"/>
      <c r="K63" s="445"/>
      <c r="L63" s="445"/>
      <c r="M63" s="445"/>
      <c r="N63" s="445"/>
      <c r="O63" s="445"/>
      <c r="P63" s="445"/>
      <c r="Q63" s="446"/>
    </row>
    <row r="64" spans="1:17" ht="16.5" customHeight="1">
      <c r="A64" s="179" t="s">
        <v>44</v>
      </c>
      <c r="B64" s="193">
        <f>+D63+1</f>
        <v>4200001</v>
      </c>
      <c r="C64" s="127"/>
      <c r="D64" s="196">
        <v>8870400</v>
      </c>
      <c r="E64" s="343">
        <v>0.06</v>
      </c>
      <c r="F64" s="208">
        <f>(C64-B64)*6%+314966.33</f>
        <v>62966.27000000002</v>
      </c>
      <c r="G64" s="209">
        <f>F64*5%</f>
        <v>3148.313500000001</v>
      </c>
      <c r="H64" s="168"/>
      <c r="I64" s="169"/>
      <c r="J64" s="444"/>
      <c r="K64" s="445"/>
      <c r="L64" s="445"/>
      <c r="M64" s="445"/>
      <c r="N64" s="445"/>
      <c r="O64" s="445"/>
      <c r="P64" s="445"/>
      <c r="Q64" s="446"/>
    </row>
    <row r="65" spans="1:17" ht="16.5" customHeight="1" thickBot="1">
      <c r="A65" s="181" t="s">
        <v>45</v>
      </c>
      <c r="B65" s="194">
        <f>+D64+1</f>
        <v>8870401</v>
      </c>
      <c r="C65" s="128"/>
      <c r="D65" s="199"/>
      <c r="E65" s="344">
        <v>0.05</v>
      </c>
      <c r="F65" s="210">
        <f>(C65-B65)*5%+595190.27</f>
        <v>151670.21999999997</v>
      </c>
      <c r="G65" s="211">
        <f>F65*5%</f>
        <v>7583.510999999999</v>
      </c>
      <c r="H65" s="168"/>
      <c r="I65" s="169"/>
      <c r="J65" s="447"/>
      <c r="K65" s="448"/>
      <c r="L65" s="448"/>
      <c r="M65" s="448"/>
      <c r="N65" s="448"/>
      <c r="O65" s="448"/>
      <c r="P65" s="448"/>
      <c r="Q65" s="449"/>
    </row>
    <row r="66" spans="1:17" ht="16.5" customHeight="1" thickTop="1">
      <c r="A66" s="201"/>
      <c r="B66" s="202"/>
      <c r="C66" s="203"/>
      <c r="D66" s="201"/>
      <c r="E66" s="201"/>
      <c r="F66" s="204"/>
      <c r="G66" s="204"/>
      <c r="H66" s="212"/>
      <c r="I66" s="213"/>
      <c r="J66" s="214"/>
      <c r="K66" s="214"/>
      <c r="L66" s="214"/>
      <c r="M66" s="214"/>
      <c r="N66" s="214"/>
      <c r="O66" s="214"/>
      <c r="P66" s="214"/>
      <c r="Q66" s="214"/>
    </row>
    <row r="67" spans="1:17" ht="12" customHeight="1">
      <c r="A67" s="281"/>
      <c r="B67" s="281"/>
      <c r="C67" s="281"/>
      <c r="D67" s="281"/>
      <c r="E67" s="281"/>
      <c r="F67" s="281"/>
      <c r="G67" s="281"/>
      <c r="H67" s="212"/>
      <c r="I67" s="213"/>
      <c r="J67" s="214"/>
      <c r="K67" s="214"/>
      <c r="L67" s="214"/>
      <c r="M67" s="214"/>
      <c r="N67" s="214"/>
      <c r="O67" s="214"/>
      <c r="P67" s="214"/>
      <c r="Q67" s="214"/>
    </row>
    <row r="68" spans="1:17" ht="12" customHeight="1" thickBot="1">
      <c r="A68" s="281"/>
      <c r="B68" s="281"/>
      <c r="C68" s="281"/>
      <c r="D68" s="281"/>
      <c r="E68" s="281"/>
      <c r="F68" s="281"/>
      <c r="G68" s="281"/>
      <c r="H68" s="212"/>
      <c r="I68" s="213"/>
      <c r="J68" s="214"/>
      <c r="K68" s="214"/>
      <c r="L68" s="214"/>
      <c r="M68" s="214"/>
      <c r="N68" s="214"/>
      <c r="O68" s="214"/>
      <c r="P68" s="214"/>
      <c r="Q68" s="214"/>
    </row>
    <row r="69" spans="2:17" ht="12" customHeight="1" thickBot="1">
      <c r="B69" s="168"/>
      <c r="C69" s="168"/>
      <c r="D69" s="227" t="s">
        <v>46</v>
      </c>
      <c r="E69" s="227"/>
      <c r="F69" s="279"/>
      <c r="G69" s="279"/>
      <c r="H69" s="168"/>
      <c r="I69" s="169"/>
      <c r="J69" s="416" t="s">
        <v>147</v>
      </c>
      <c r="K69" s="417"/>
      <c r="L69" s="417"/>
      <c r="M69" s="417"/>
      <c r="N69" s="417"/>
      <c r="O69" s="450"/>
      <c r="P69" s="214"/>
      <c r="Q69" s="214"/>
    </row>
    <row r="70" spans="1:17" ht="28.5" customHeight="1" thickBot="1" thickTop="1">
      <c r="A70" s="278" t="s">
        <v>150</v>
      </c>
      <c r="B70" s="230" t="s">
        <v>47</v>
      </c>
      <c r="C70" s="312"/>
      <c r="D70" s="235">
        <f>C70*5/100</f>
        <v>0</v>
      </c>
      <c r="E70" s="315"/>
      <c r="F70" s="279"/>
      <c r="G70" s="279"/>
      <c r="H70" s="168"/>
      <c r="I70" s="169"/>
      <c r="J70" s="418"/>
      <c r="K70" s="419"/>
      <c r="L70" s="419"/>
      <c r="M70" s="419"/>
      <c r="N70" s="419"/>
      <c r="O70" s="451"/>
      <c r="P70" s="214"/>
      <c r="Q70" s="214"/>
    </row>
    <row r="71" spans="1:17" ht="16.5" customHeight="1" thickBot="1" thickTop="1">
      <c r="A71" s="282" t="s">
        <v>134</v>
      </c>
      <c r="B71" s="279" t="s">
        <v>135</v>
      </c>
      <c r="C71" s="235">
        <f>C70*0.6</f>
        <v>0</v>
      </c>
      <c r="D71" s="235">
        <f>C71*5/100</f>
        <v>0</v>
      </c>
      <c r="E71" s="315"/>
      <c r="F71" s="279"/>
      <c r="G71" s="279"/>
      <c r="H71" s="168"/>
      <c r="I71" s="169"/>
      <c r="J71" s="418"/>
      <c r="K71" s="419"/>
      <c r="L71" s="419"/>
      <c r="M71" s="419"/>
      <c r="N71" s="419"/>
      <c r="O71" s="451"/>
      <c r="P71" s="214"/>
      <c r="Q71" s="214"/>
    </row>
    <row r="72" spans="1:17" ht="16.5" customHeight="1" thickBot="1" thickTop="1">
      <c r="A72" s="282" t="s">
        <v>149</v>
      </c>
      <c r="B72" s="279" t="s">
        <v>135</v>
      </c>
      <c r="C72" s="235">
        <f>C70*0.4</f>
        <v>0</v>
      </c>
      <c r="D72" s="235">
        <f>C72*5/100</f>
        <v>0</v>
      </c>
      <c r="E72" s="315"/>
      <c r="F72" s="279"/>
      <c r="G72" s="279"/>
      <c r="H72" s="168"/>
      <c r="I72" s="169"/>
      <c r="J72" s="420"/>
      <c r="K72" s="421"/>
      <c r="L72" s="421"/>
      <c r="M72" s="421"/>
      <c r="N72" s="421"/>
      <c r="O72" s="452"/>
      <c r="P72" s="214"/>
      <c r="Q72" s="214"/>
    </row>
    <row r="73" spans="1:17" ht="16.5" customHeight="1" thickTop="1">
      <c r="A73" s="282"/>
      <c r="B73" s="279"/>
      <c r="C73" s="315"/>
      <c r="D73" s="315"/>
      <c r="E73" s="315"/>
      <c r="F73" s="279"/>
      <c r="G73" s="279"/>
      <c r="H73" s="168"/>
      <c r="I73" s="169"/>
      <c r="J73" s="316"/>
      <c r="K73" s="316"/>
      <c r="L73" s="316"/>
      <c r="M73" s="316"/>
      <c r="N73" s="316"/>
      <c r="O73" s="316"/>
      <c r="P73" s="214"/>
      <c r="Q73" s="214"/>
    </row>
    <row r="74" spans="1:17" ht="16.5" customHeight="1">
      <c r="A74" s="485" t="s">
        <v>133</v>
      </c>
      <c r="B74" s="486"/>
      <c r="C74" s="486"/>
      <c r="D74" s="486"/>
      <c r="E74" s="486"/>
      <c r="F74" s="486"/>
      <c r="G74" s="487"/>
      <c r="H74" s="168"/>
      <c r="I74" s="169"/>
      <c r="J74" s="316"/>
      <c r="K74" s="316"/>
      <c r="L74" s="316"/>
      <c r="M74" s="316"/>
      <c r="N74" s="316"/>
      <c r="O74" s="316"/>
      <c r="P74" s="214"/>
      <c r="Q74" s="214"/>
    </row>
    <row r="75" spans="1:17" ht="16.5" customHeight="1">
      <c r="A75" s="317"/>
      <c r="B75" s="317"/>
      <c r="C75" s="317"/>
      <c r="D75" s="317"/>
      <c r="E75" s="317"/>
      <c r="F75" s="317"/>
      <c r="G75" s="317"/>
      <c r="H75" s="168"/>
      <c r="I75" s="169"/>
      <c r="J75" s="316"/>
      <c r="K75" s="316"/>
      <c r="L75" s="316"/>
      <c r="M75" s="316"/>
      <c r="N75" s="316"/>
      <c r="O75" s="316"/>
      <c r="P75" s="214"/>
      <c r="Q75" s="214"/>
    </row>
    <row r="76" spans="1:17" ht="16.5" customHeight="1" thickBot="1">
      <c r="A76" s="317"/>
      <c r="B76" s="317"/>
      <c r="C76" s="317"/>
      <c r="D76" s="317"/>
      <c r="E76" s="317"/>
      <c r="F76" s="317"/>
      <c r="G76" s="317"/>
      <c r="H76" s="168"/>
      <c r="I76" s="169"/>
      <c r="J76" s="316"/>
      <c r="K76" s="316"/>
      <c r="L76" s="316"/>
      <c r="M76" s="316"/>
      <c r="N76" s="316"/>
      <c r="O76" s="316"/>
      <c r="P76" s="214"/>
      <c r="Q76" s="214"/>
    </row>
    <row r="77" spans="1:17" ht="30.75" customHeight="1" thickBot="1">
      <c r="A77" s="466" t="s">
        <v>158</v>
      </c>
      <c r="B77" s="467"/>
      <c r="C77" s="467"/>
      <c r="D77" s="467"/>
      <c r="E77" s="467"/>
      <c r="F77" s="467"/>
      <c r="G77" s="468"/>
      <c r="H77" s="168"/>
      <c r="I77" s="169"/>
      <c r="J77" s="169"/>
      <c r="K77" s="169"/>
      <c r="L77" s="169"/>
      <c r="M77" s="169"/>
      <c r="N77" s="169"/>
      <c r="O77" s="169"/>
      <c r="P77" s="169"/>
      <c r="Q77" s="169"/>
    </row>
    <row r="78" spans="1:17" ht="48" customHeight="1" thickBot="1">
      <c r="A78" s="474" t="s">
        <v>157</v>
      </c>
      <c r="B78" s="475"/>
      <c r="C78" s="475"/>
      <c r="D78" s="475"/>
      <c r="E78" s="334"/>
      <c r="F78" s="300" t="s">
        <v>41</v>
      </c>
      <c r="G78" s="301" t="s">
        <v>42</v>
      </c>
      <c r="H78" s="168"/>
      <c r="I78" s="169"/>
      <c r="J78" s="438" t="s">
        <v>113</v>
      </c>
      <c r="K78" s="439"/>
      <c r="L78" s="439"/>
      <c r="M78" s="439"/>
      <c r="N78" s="439"/>
      <c r="O78" s="439"/>
      <c r="P78" s="439"/>
      <c r="Q78" s="440"/>
    </row>
    <row r="79" spans="1:17" ht="16.5" customHeight="1" thickBot="1" thickTop="1">
      <c r="A79" s="265"/>
      <c r="B79" s="265"/>
      <c r="C79" s="265"/>
      <c r="D79" s="265"/>
      <c r="E79" s="265"/>
      <c r="F79" s="270"/>
      <c r="G79" s="270"/>
      <c r="H79" s="168"/>
      <c r="I79" s="169"/>
      <c r="J79" s="313"/>
      <c r="K79" s="313"/>
      <c r="L79" s="313"/>
      <c r="M79" s="313"/>
      <c r="N79" s="313"/>
      <c r="O79" s="313"/>
      <c r="P79" s="313"/>
      <c r="Q79" s="313"/>
    </row>
    <row r="80" spans="1:17" ht="21.75" customHeight="1" thickTop="1">
      <c r="A80" s="177" t="s">
        <v>43</v>
      </c>
      <c r="B80" s="192"/>
      <c r="C80" s="126"/>
      <c r="D80" s="336">
        <v>1048320</v>
      </c>
      <c r="E80" s="348">
        <v>0.09</v>
      </c>
      <c r="F80" s="206">
        <f>(C80*9%)*1.5</f>
        <v>0</v>
      </c>
      <c r="G80" s="207">
        <f>F80*5%</f>
        <v>0</v>
      </c>
      <c r="H80" s="168"/>
      <c r="I80" s="169"/>
      <c r="J80" s="441" t="s">
        <v>143</v>
      </c>
      <c r="K80" s="442"/>
      <c r="L80" s="442"/>
      <c r="M80" s="442"/>
      <c r="N80" s="442"/>
      <c r="O80" s="442"/>
      <c r="P80" s="442"/>
      <c r="Q80" s="443"/>
    </row>
    <row r="81" spans="1:17" ht="21.75" customHeight="1">
      <c r="A81" s="179" t="s">
        <v>44</v>
      </c>
      <c r="B81" s="193">
        <f>+D80+1</f>
        <v>1048321</v>
      </c>
      <c r="C81" s="127"/>
      <c r="D81" s="196">
        <v>4200000</v>
      </c>
      <c r="E81" s="343">
        <v>0.07</v>
      </c>
      <c r="F81" s="208">
        <f>((C81-B81)*7%+94348.8)*1.5</f>
        <v>31449.495000000003</v>
      </c>
      <c r="G81" s="209">
        <f>F81*5%</f>
        <v>1572.4747500000003</v>
      </c>
      <c r="H81" s="168"/>
      <c r="I81" s="169"/>
      <c r="J81" s="444"/>
      <c r="K81" s="445"/>
      <c r="L81" s="445"/>
      <c r="M81" s="445"/>
      <c r="N81" s="445"/>
      <c r="O81" s="445"/>
      <c r="P81" s="445"/>
      <c r="Q81" s="446"/>
    </row>
    <row r="82" spans="1:17" ht="21.75" customHeight="1">
      <c r="A82" s="179" t="s">
        <v>44</v>
      </c>
      <c r="B82" s="193">
        <f>+D81+1</f>
        <v>4200001</v>
      </c>
      <c r="C82" s="127"/>
      <c r="D82" s="196">
        <v>8870400</v>
      </c>
      <c r="E82" s="343">
        <v>0.06</v>
      </c>
      <c r="F82" s="208">
        <f>((C82-B82)*6%+314966.33)*1.5</f>
        <v>94449.40500000003</v>
      </c>
      <c r="G82" s="209">
        <f>F82*5%</f>
        <v>4722.470250000001</v>
      </c>
      <c r="H82" s="168"/>
      <c r="I82" s="169"/>
      <c r="J82" s="444"/>
      <c r="K82" s="445"/>
      <c r="L82" s="445"/>
      <c r="M82" s="445"/>
      <c r="N82" s="445"/>
      <c r="O82" s="445"/>
      <c r="P82" s="445"/>
      <c r="Q82" s="446"/>
    </row>
    <row r="83" spans="1:17" ht="21.75" customHeight="1" thickBot="1">
      <c r="A83" s="181" t="s">
        <v>45</v>
      </c>
      <c r="B83" s="194">
        <f>+D82+1</f>
        <v>8870401</v>
      </c>
      <c r="C83" s="128"/>
      <c r="D83" s="199"/>
      <c r="E83" s="344">
        <v>0.05</v>
      </c>
      <c r="F83" s="210">
        <f>((C83-B83)*5%+595190.27)*1.5</f>
        <v>227505.32999999996</v>
      </c>
      <c r="G83" s="211">
        <f>F83*5%</f>
        <v>11375.266499999998</v>
      </c>
      <c r="H83" s="168"/>
      <c r="I83" s="169"/>
      <c r="J83" s="447"/>
      <c r="K83" s="448"/>
      <c r="L83" s="448"/>
      <c r="M83" s="448"/>
      <c r="N83" s="448"/>
      <c r="O83" s="448"/>
      <c r="P83" s="448"/>
      <c r="Q83" s="449"/>
    </row>
    <row r="84" spans="1:17" ht="16.5" customHeight="1" thickTop="1">
      <c r="A84" s="201"/>
      <c r="B84" s="202"/>
      <c r="C84" s="203"/>
      <c r="D84" s="201"/>
      <c r="E84" s="201"/>
      <c r="F84" s="204"/>
      <c r="G84" s="204"/>
      <c r="H84" s="212"/>
      <c r="I84" s="213"/>
      <c r="J84" s="214"/>
      <c r="K84" s="214"/>
      <c r="L84" s="214"/>
      <c r="M84" s="214"/>
      <c r="N84" s="214"/>
      <c r="O84" s="214"/>
      <c r="P84" s="214"/>
      <c r="Q84" s="214"/>
    </row>
    <row r="85" spans="1:17" ht="16.5" customHeight="1" thickBot="1">
      <c r="A85" s="317"/>
      <c r="B85" s="317"/>
      <c r="C85" s="317"/>
      <c r="D85" s="317"/>
      <c r="E85" s="317"/>
      <c r="F85" s="317"/>
      <c r="G85" s="317"/>
      <c r="H85" s="168"/>
      <c r="I85" s="169"/>
      <c r="J85" s="316"/>
      <c r="K85" s="316"/>
      <c r="L85" s="316"/>
      <c r="M85" s="316"/>
      <c r="N85" s="316"/>
      <c r="O85" s="316"/>
      <c r="P85" s="214"/>
      <c r="Q85" s="214"/>
    </row>
    <row r="86" spans="1:17" ht="16.5" customHeight="1" thickBot="1">
      <c r="A86" s="282"/>
      <c r="B86" s="168"/>
      <c r="C86" s="168"/>
      <c r="D86" s="227" t="s">
        <v>46</v>
      </c>
      <c r="E86" s="227"/>
      <c r="F86" s="279"/>
      <c r="G86" s="279"/>
      <c r="H86" s="168"/>
      <c r="I86" s="169"/>
      <c r="J86" s="416" t="s">
        <v>147</v>
      </c>
      <c r="K86" s="417"/>
      <c r="L86" s="417"/>
      <c r="M86" s="417"/>
      <c r="N86" s="417"/>
      <c r="O86" s="450"/>
      <c r="P86" s="214"/>
      <c r="Q86" s="214"/>
    </row>
    <row r="87" spans="1:17" ht="28.5" customHeight="1" thickBot="1" thickTop="1">
      <c r="A87" s="282" t="s">
        <v>151</v>
      </c>
      <c r="B87" s="230" t="s">
        <v>47</v>
      </c>
      <c r="C87" s="312"/>
      <c r="D87" s="235">
        <f>C87*5/100</f>
        <v>0</v>
      </c>
      <c r="E87" s="315"/>
      <c r="F87" s="279"/>
      <c r="G87" s="279"/>
      <c r="H87" s="168"/>
      <c r="I87" s="169"/>
      <c r="J87" s="418"/>
      <c r="K87" s="419"/>
      <c r="L87" s="419"/>
      <c r="M87" s="419"/>
      <c r="N87" s="419"/>
      <c r="O87" s="451"/>
      <c r="P87" s="214"/>
      <c r="Q87" s="214"/>
    </row>
    <row r="88" spans="1:17" ht="16.5" customHeight="1" thickBot="1" thickTop="1">
      <c r="A88" s="282" t="s">
        <v>148</v>
      </c>
      <c r="B88" s="279" t="s">
        <v>135</v>
      </c>
      <c r="C88" s="235">
        <f>C87*0.6</f>
        <v>0</v>
      </c>
      <c r="D88" s="235">
        <f>C88*5/100</f>
        <v>0</v>
      </c>
      <c r="E88" s="315"/>
      <c r="F88" s="279"/>
      <c r="G88" s="279"/>
      <c r="H88" s="168"/>
      <c r="I88" s="169"/>
      <c r="J88" s="418"/>
      <c r="K88" s="419"/>
      <c r="L88" s="419"/>
      <c r="M88" s="419"/>
      <c r="N88" s="419"/>
      <c r="O88" s="451"/>
      <c r="P88" s="214"/>
      <c r="Q88" s="214"/>
    </row>
    <row r="89" spans="1:17" ht="16.5" customHeight="1" thickBot="1" thickTop="1">
      <c r="A89" s="282" t="s">
        <v>149</v>
      </c>
      <c r="B89" s="279" t="s">
        <v>135</v>
      </c>
      <c r="C89" s="235">
        <f>C87*0.4</f>
        <v>0</v>
      </c>
      <c r="D89" s="235">
        <f>C89*5/100</f>
        <v>0</v>
      </c>
      <c r="E89" s="315"/>
      <c r="F89" s="279"/>
      <c r="G89" s="279"/>
      <c r="H89" s="168"/>
      <c r="I89" s="169"/>
      <c r="J89" s="420"/>
      <c r="K89" s="421"/>
      <c r="L89" s="421"/>
      <c r="M89" s="421"/>
      <c r="N89" s="421"/>
      <c r="O89" s="452"/>
      <c r="P89" s="214"/>
      <c r="Q89" s="214"/>
    </row>
    <row r="90" spans="1:17" ht="16.5" customHeight="1" thickTop="1">
      <c r="A90" s="282"/>
      <c r="B90" s="279"/>
      <c r="C90" s="315"/>
      <c r="D90" s="315"/>
      <c r="E90" s="315"/>
      <c r="F90" s="279"/>
      <c r="G90" s="279"/>
      <c r="H90" s="168"/>
      <c r="I90" s="169"/>
      <c r="J90" s="316"/>
      <c r="K90" s="316"/>
      <c r="L90" s="316"/>
      <c r="M90" s="316"/>
      <c r="N90" s="316"/>
      <c r="O90" s="316"/>
      <c r="P90" s="214"/>
      <c r="Q90" s="214"/>
    </row>
    <row r="91" spans="1:17" ht="16.5" customHeight="1">
      <c r="A91" s="282"/>
      <c r="B91" s="279"/>
      <c r="C91" s="315"/>
      <c r="D91" s="315"/>
      <c r="E91" s="315"/>
      <c r="F91" s="279"/>
      <c r="G91" s="279"/>
      <c r="H91" s="168"/>
      <c r="I91" s="169"/>
      <c r="J91" s="316"/>
      <c r="K91" s="316"/>
      <c r="L91" s="316"/>
      <c r="M91" s="316"/>
      <c r="N91" s="316"/>
      <c r="O91" s="316"/>
      <c r="P91" s="214"/>
      <c r="Q91" s="214"/>
    </row>
    <row r="92" spans="1:17" ht="12" customHeight="1">
      <c r="A92" s="281"/>
      <c r="B92" s="281"/>
      <c r="C92" s="281"/>
      <c r="D92" s="281"/>
      <c r="E92" s="281"/>
      <c r="F92" s="281"/>
      <c r="G92" s="281"/>
      <c r="H92" s="212"/>
      <c r="I92" s="213"/>
      <c r="J92" s="214"/>
      <c r="K92" s="214"/>
      <c r="L92" s="214"/>
      <c r="M92" s="214"/>
      <c r="N92" s="214"/>
      <c r="O92" s="214"/>
      <c r="P92" s="214"/>
      <c r="Q92" s="214"/>
    </row>
    <row r="93" spans="1:17" ht="12" customHeight="1" thickBot="1">
      <c r="A93" s="215"/>
      <c r="B93" s="216"/>
      <c r="C93" s="203"/>
      <c r="D93" s="201"/>
      <c r="E93" s="201"/>
      <c r="F93" s="217"/>
      <c r="G93" s="218"/>
      <c r="H93" s="168"/>
      <c r="I93" s="169"/>
      <c r="J93" s="169"/>
      <c r="K93" s="169"/>
      <c r="L93" s="169"/>
      <c r="M93" s="169"/>
      <c r="N93" s="169"/>
      <c r="O93" s="169"/>
      <c r="P93" s="169"/>
      <c r="Q93" s="169"/>
    </row>
    <row r="94" spans="1:17" ht="30.75" customHeight="1" thickBot="1">
      <c r="A94" s="490" t="s">
        <v>170</v>
      </c>
      <c r="B94" s="491"/>
      <c r="C94" s="491"/>
      <c r="D94" s="491"/>
      <c r="E94" s="491"/>
      <c r="F94" s="491"/>
      <c r="G94" s="492"/>
      <c r="H94" s="168"/>
      <c r="I94" s="169"/>
      <c r="J94" s="169"/>
      <c r="K94" s="169"/>
      <c r="L94" s="169"/>
      <c r="M94" s="169"/>
      <c r="N94" s="169"/>
      <c r="O94" s="169"/>
      <c r="P94" s="169"/>
      <c r="Q94" s="169"/>
    </row>
    <row r="95" spans="1:17" ht="48" customHeight="1" thickBot="1">
      <c r="A95" s="488" t="s">
        <v>119</v>
      </c>
      <c r="B95" s="489"/>
      <c r="C95" s="489"/>
      <c r="D95" s="489"/>
      <c r="E95" s="335"/>
      <c r="F95" s="302" t="s">
        <v>41</v>
      </c>
      <c r="G95" s="303" t="s">
        <v>42</v>
      </c>
      <c r="H95" s="168"/>
      <c r="I95" s="169"/>
      <c r="J95" s="461" t="s">
        <v>145</v>
      </c>
      <c r="K95" s="462"/>
      <c r="L95" s="462"/>
      <c r="M95" s="462"/>
      <c r="N95" s="462"/>
      <c r="O95" s="462"/>
      <c r="P95" s="462"/>
      <c r="Q95" s="463"/>
    </row>
    <row r="96" spans="1:17" ht="16.5" customHeight="1" thickTop="1">
      <c r="A96" s="177" t="s">
        <v>43</v>
      </c>
      <c r="B96" s="219"/>
      <c r="C96" s="129">
        <v>0</v>
      </c>
      <c r="D96" s="222">
        <v>1714200</v>
      </c>
      <c r="E96" s="343">
        <v>0.03</v>
      </c>
      <c r="F96" s="223">
        <f>C96*3%</f>
        <v>0</v>
      </c>
      <c r="G96" s="195">
        <f>F96*5%</f>
        <v>0</v>
      </c>
      <c r="H96" s="168"/>
      <c r="I96" s="169"/>
      <c r="J96" s="169"/>
      <c r="K96" s="169"/>
      <c r="L96" s="169"/>
      <c r="M96" s="169"/>
      <c r="N96" s="169"/>
      <c r="O96" s="169"/>
      <c r="P96" s="169"/>
      <c r="Q96" s="169"/>
    </row>
    <row r="97" spans="1:17" ht="16.5" customHeight="1">
      <c r="A97" s="179" t="s">
        <v>44</v>
      </c>
      <c r="B97" s="220">
        <f>+D96+1</f>
        <v>1714201</v>
      </c>
      <c r="C97" s="130">
        <v>0</v>
      </c>
      <c r="D97" s="193">
        <v>9240000</v>
      </c>
      <c r="E97" s="343">
        <v>0.02</v>
      </c>
      <c r="F97" s="224">
        <f>(C97-B97)*2%+51426</f>
        <v>17141.979999999996</v>
      </c>
      <c r="G97" s="197">
        <f>F97*5%</f>
        <v>857.0989999999998</v>
      </c>
      <c r="H97" s="168"/>
      <c r="I97" s="169"/>
      <c r="J97" s="476" t="s">
        <v>144</v>
      </c>
      <c r="K97" s="477"/>
      <c r="L97" s="477"/>
      <c r="M97" s="477"/>
      <c r="N97" s="477"/>
      <c r="O97" s="477"/>
      <c r="P97" s="477"/>
      <c r="Q97" s="478"/>
    </row>
    <row r="98" spans="1:17" ht="16.5" customHeight="1">
      <c r="A98" s="179" t="s">
        <v>44</v>
      </c>
      <c r="B98" s="220">
        <f>+D97+1</f>
        <v>9240001</v>
      </c>
      <c r="C98" s="130"/>
      <c r="D98" s="193">
        <v>33868800</v>
      </c>
      <c r="E98" s="343">
        <v>0.01</v>
      </c>
      <c r="F98" s="224">
        <f>(C98-B98)*1%+201941.98</f>
        <v>109541.97000000002</v>
      </c>
      <c r="G98" s="197">
        <f>F98*5%</f>
        <v>5477.098500000001</v>
      </c>
      <c r="H98" s="168"/>
      <c r="I98" s="169"/>
      <c r="J98" s="479"/>
      <c r="K98" s="480"/>
      <c r="L98" s="480"/>
      <c r="M98" s="480"/>
      <c r="N98" s="480"/>
      <c r="O98" s="480"/>
      <c r="P98" s="480"/>
      <c r="Q98" s="481"/>
    </row>
    <row r="99" spans="1:17" ht="16.5" customHeight="1" thickBot="1">
      <c r="A99" s="181" t="s">
        <v>45</v>
      </c>
      <c r="B99" s="221">
        <f>+D98+1</f>
        <v>33868801</v>
      </c>
      <c r="C99" s="131"/>
      <c r="D99" s="225"/>
      <c r="E99" s="350">
        <v>0.005</v>
      </c>
      <c r="F99" s="226">
        <f>(C99-B99)*0.5%+448229.97</f>
        <v>278885.96499999997</v>
      </c>
      <c r="G99" s="200">
        <f>F99*5%</f>
        <v>13944.29825</v>
      </c>
      <c r="H99" s="168"/>
      <c r="I99" s="169"/>
      <c r="J99" s="482"/>
      <c r="K99" s="483"/>
      <c r="L99" s="483"/>
      <c r="M99" s="483"/>
      <c r="N99" s="483"/>
      <c r="O99" s="483"/>
      <c r="P99" s="483"/>
      <c r="Q99" s="484"/>
    </row>
    <row r="100" spans="1:17" ht="15.75" thickTop="1">
      <c r="A100" s="168"/>
      <c r="B100" s="168"/>
      <c r="C100" s="168"/>
      <c r="D100" s="168"/>
      <c r="E100" s="349"/>
      <c r="F100" s="168"/>
      <c r="G100" s="168"/>
      <c r="H100" s="168"/>
      <c r="I100" s="169"/>
      <c r="J100" s="169"/>
      <c r="K100" s="169"/>
      <c r="L100" s="169"/>
      <c r="M100" s="169"/>
      <c r="N100" s="169"/>
      <c r="O100" s="169"/>
      <c r="P100" s="169"/>
      <c r="Q100" s="169"/>
    </row>
    <row r="101" spans="1:17" ht="12" customHeight="1" thickBot="1">
      <c r="A101" s="168"/>
      <c r="B101" s="411"/>
      <c r="C101" s="411"/>
      <c r="D101" s="228"/>
      <c r="E101" s="228"/>
      <c r="F101" s="168"/>
      <c r="G101" s="168"/>
      <c r="H101" s="168"/>
      <c r="I101" s="169"/>
      <c r="J101" s="169"/>
      <c r="K101" s="169"/>
      <c r="L101" s="169"/>
      <c r="M101" s="169"/>
      <c r="N101" s="169"/>
      <c r="O101" s="169"/>
      <c r="P101" s="169"/>
      <c r="Q101" s="169"/>
    </row>
    <row r="102" spans="2:17" ht="19.5" customHeight="1" thickBot="1">
      <c r="B102" s="168"/>
      <c r="C102" s="168"/>
      <c r="D102" s="227" t="s">
        <v>46</v>
      </c>
      <c r="E102" s="227"/>
      <c r="F102" s="232"/>
      <c r="G102" s="232"/>
      <c r="H102" s="168"/>
      <c r="I102" s="169"/>
      <c r="J102" s="416" t="s">
        <v>147</v>
      </c>
      <c r="K102" s="417"/>
      <c r="L102" s="417"/>
      <c r="M102" s="417"/>
      <c r="N102" s="417"/>
      <c r="O102" s="450"/>
      <c r="P102" s="326"/>
      <c r="Q102" s="280"/>
    </row>
    <row r="103" spans="1:17" ht="28.5" customHeight="1" thickBot="1" thickTop="1">
      <c r="A103" s="278" t="s">
        <v>159</v>
      </c>
      <c r="B103" s="230" t="s">
        <v>47</v>
      </c>
      <c r="C103" s="310"/>
      <c r="D103" s="235">
        <f>C103*5/100</f>
        <v>0</v>
      </c>
      <c r="E103" s="315"/>
      <c r="F103" s="232"/>
      <c r="G103" s="232"/>
      <c r="H103" s="168"/>
      <c r="I103" s="169"/>
      <c r="J103" s="418"/>
      <c r="K103" s="419"/>
      <c r="L103" s="419"/>
      <c r="M103" s="419"/>
      <c r="N103" s="419"/>
      <c r="O103" s="451"/>
      <c r="P103" s="326"/>
      <c r="Q103" s="280"/>
    </row>
    <row r="104" spans="1:17" ht="19.5" customHeight="1" thickTop="1">
      <c r="A104" s="229"/>
      <c r="C104"/>
      <c r="D104" s="231"/>
      <c r="E104" s="231"/>
      <c r="F104" s="233"/>
      <c r="G104" s="233"/>
      <c r="H104" s="168"/>
      <c r="I104" s="169"/>
      <c r="J104" s="418"/>
      <c r="K104" s="419"/>
      <c r="L104" s="419"/>
      <c r="M104" s="419"/>
      <c r="N104" s="419"/>
      <c r="O104" s="451"/>
      <c r="P104" s="326"/>
      <c r="Q104" s="280"/>
    </row>
    <row r="105" spans="6:17" ht="19.5" customHeight="1" thickBot="1">
      <c r="F105" s="233"/>
      <c r="G105" s="233"/>
      <c r="H105" s="168"/>
      <c r="I105" s="169"/>
      <c r="J105" s="420"/>
      <c r="K105" s="421"/>
      <c r="L105" s="421"/>
      <c r="M105" s="421"/>
      <c r="N105" s="421"/>
      <c r="O105" s="452"/>
      <c r="P105" s="326"/>
      <c r="Q105" s="280"/>
    </row>
    <row r="106" spans="1:17" ht="12" customHeight="1">
      <c r="A106" s="168"/>
      <c r="F106" s="234"/>
      <c r="G106" s="233"/>
      <c r="H106" s="168"/>
      <c r="I106" s="169"/>
      <c r="J106" s="169"/>
      <c r="K106" s="169"/>
      <c r="L106" s="169"/>
      <c r="M106" s="169"/>
      <c r="N106" s="169"/>
      <c r="O106" s="169"/>
      <c r="P106" s="169"/>
      <c r="Q106" s="169"/>
    </row>
    <row r="107" spans="1:17" ht="12" customHeight="1" thickBot="1">
      <c r="A107" s="168"/>
      <c r="F107" s="236"/>
      <c r="G107" s="237"/>
      <c r="H107" s="168"/>
      <c r="I107" s="169"/>
      <c r="J107" s="169"/>
      <c r="K107" s="169"/>
      <c r="L107" s="169"/>
      <c r="M107" s="169"/>
      <c r="N107" s="169"/>
      <c r="O107" s="169"/>
      <c r="P107" s="169"/>
      <c r="Q107" s="169"/>
    </row>
    <row r="108" spans="1:17" ht="21" thickBot="1">
      <c r="A108" s="490" t="s">
        <v>122</v>
      </c>
      <c r="B108" s="491"/>
      <c r="C108" s="491"/>
      <c r="D108" s="491"/>
      <c r="E108" s="491"/>
      <c r="F108" s="491"/>
      <c r="G108" s="492"/>
      <c r="H108" s="168"/>
      <c r="I108" s="169"/>
      <c r="J108" s="169"/>
      <c r="K108" s="169"/>
      <c r="L108" s="169"/>
      <c r="M108" s="169"/>
      <c r="N108" s="169"/>
      <c r="O108" s="169"/>
      <c r="P108" s="169"/>
      <c r="Q108" s="169"/>
    </row>
    <row r="109" spans="1:17" ht="45" customHeight="1" thickBot="1">
      <c r="A109" s="488" t="s">
        <v>120</v>
      </c>
      <c r="B109" s="489"/>
      <c r="C109" s="489"/>
      <c r="D109" s="489"/>
      <c r="E109" s="335"/>
      <c r="F109" s="302" t="s">
        <v>41</v>
      </c>
      <c r="G109" s="303" t="s">
        <v>42</v>
      </c>
      <c r="H109" s="168"/>
      <c r="I109" s="169"/>
      <c r="J109" s="493" t="s">
        <v>146</v>
      </c>
      <c r="K109" s="494"/>
      <c r="L109" s="494"/>
      <c r="M109" s="494"/>
      <c r="N109" s="494"/>
      <c r="O109" s="494"/>
      <c r="P109" s="494"/>
      <c r="Q109" s="495"/>
    </row>
    <row r="110" spans="1:17" ht="15.75" thickTop="1">
      <c r="A110" s="177" t="s">
        <v>43</v>
      </c>
      <c r="B110" s="219"/>
      <c r="C110" s="129"/>
      <c r="D110" s="222">
        <v>1714200</v>
      </c>
      <c r="E110" s="343">
        <v>0.03</v>
      </c>
      <c r="F110" s="223">
        <f>(C110*3%)*0.8</f>
        <v>0</v>
      </c>
      <c r="G110" s="195">
        <f>F110*5%</f>
        <v>0</v>
      </c>
      <c r="H110" s="168"/>
      <c r="I110" s="169"/>
      <c r="J110" s="169"/>
      <c r="K110" s="169"/>
      <c r="L110" s="169"/>
      <c r="M110" s="169"/>
      <c r="N110" s="169"/>
      <c r="O110" s="169"/>
      <c r="P110" s="169"/>
      <c r="Q110" s="169"/>
    </row>
    <row r="111" spans="1:17" ht="15" customHeight="1">
      <c r="A111" s="179" t="s">
        <v>44</v>
      </c>
      <c r="B111" s="220">
        <f>+D110+1</f>
        <v>1714201</v>
      </c>
      <c r="C111" s="130"/>
      <c r="D111" s="193">
        <v>9240000</v>
      </c>
      <c r="E111" s="343">
        <v>0.02</v>
      </c>
      <c r="F111" s="224">
        <f>((C111-B111)*2%+51426)*0.8</f>
        <v>13713.583999999997</v>
      </c>
      <c r="G111" s="197">
        <f>F111*5%</f>
        <v>685.6791999999999</v>
      </c>
      <c r="H111" s="168"/>
      <c r="I111" s="169"/>
      <c r="J111" s="476" t="s">
        <v>144</v>
      </c>
      <c r="K111" s="477"/>
      <c r="L111" s="477"/>
      <c r="M111" s="477"/>
      <c r="N111" s="477"/>
      <c r="O111" s="477"/>
      <c r="P111" s="477"/>
      <c r="Q111" s="478"/>
    </row>
    <row r="112" spans="1:17" ht="15">
      <c r="A112" s="179" t="s">
        <v>44</v>
      </c>
      <c r="B112" s="220">
        <f>+D111+1</f>
        <v>9240001</v>
      </c>
      <c r="C112" s="130"/>
      <c r="D112" s="193">
        <v>33868800</v>
      </c>
      <c r="E112" s="343">
        <v>0.01</v>
      </c>
      <c r="F112" s="224">
        <f>((C112-B112)*1%+201941.98)*0.8</f>
        <v>87633.57600000002</v>
      </c>
      <c r="G112" s="197">
        <f>F112*5%</f>
        <v>4381.678800000001</v>
      </c>
      <c r="H112" s="168"/>
      <c r="I112" s="169"/>
      <c r="J112" s="479"/>
      <c r="K112" s="480"/>
      <c r="L112" s="480"/>
      <c r="M112" s="480"/>
      <c r="N112" s="480"/>
      <c r="O112" s="480"/>
      <c r="P112" s="480"/>
      <c r="Q112" s="481"/>
    </row>
    <row r="113" spans="1:17" ht="15.75" thickBot="1">
      <c r="A113" s="181" t="s">
        <v>45</v>
      </c>
      <c r="B113" s="221">
        <f>+D112+1</f>
        <v>33868801</v>
      </c>
      <c r="C113" s="131"/>
      <c r="D113" s="225"/>
      <c r="E113" s="351">
        <v>0.005</v>
      </c>
      <c r="F113" s="226">
        <f>((C113-B113)*0.5%+448229.97)*0.8</f>
        <v>223108.772</v>
      </c>
      <c r="G113" s="200">
        <f>F113*5%</f>
        <v>11155.438600000001</v>
      </c>
      <c r="H113" s="168"/>
      <c r="I113" s="169"/>
      <c r="J113" s="482"/>
      <c r="K113" s="483"/>
      <c r="L113" s="483"/>
      <c r="M113" s="483"/>
      <c r="N113" s="483"/>
      <c r="O113" s="483"/>
      <c r="P113" s="483"/>
      <c r="Q113" s="484"/>
    </row>
    <row r="114" spans="1:17" ht="15.75" thickTop="1">
      <c r="A114" s="168"/>
      <c r="B114" s="168"/>
      <c r="C114" s="168"/>
      <c r="D114" s="168"/>
      <c r="E114" s="168"/>
      <c r="F114" s="168"/>
      <c r="G114" s="168"/>
      <c r="H114" s="168"/>
      <c r="I114" s="169"/>
      <c r="J114" s="169"/>
      <c r="K114" s="169"/>
      <c r="L114" s="169"/>
      <c r="M114" s="169"/>
      <c r="N114" s="169"/>
      <c r="O114" s="169"/>
      <c r="P114" s="169"/>
      <c r="Q114" s="169"/>
    </row>
    <row r="115" spans="1:17" ht="15.75" thickBot="1">
      <c r="A115" s="168"/>
      <c r="B115" s="411"/>
      <c r="C115" s="411"/>
      <c r="D115" s="228"/>
      <c r="E115" s="228"/>
      <c r="F115" s="168"/>
      <c r="G115" s="168"/>
      <c r="H115" s="168"/>
      <c r="I115" s="169"/>
      <c r="J115" s="169"/>
      <c r="K115" s="169"/>
      <c r="L115" s="169"/>
      <c r="M115" s="169"/>
      <c r="N115" s="169"/>
      <c r="O115" s="169"/>
      <c r="P115" s="169"/>
      <c r="Q115" s="169"/>
    </row>
    <row r="116" spans="2:17" ht="29.25" customHeight="1" thickBot="1">
      <c r="B116" s="168"/>
      <c r="C116" s="168"/>
      <c r="D116" s="227" t="s">
        <v>46</v>
      </c>
      <c r="E116" s="227"/>
      <c r="F116" s="232"/>
      <c r="G116" s="232"/>
      <c r="H116" s="168"/>
      <c r="I116" s="169"/>
      <c r="J116" s="416" t="s">
        <v>131</v>
      </c>
      <c r="K116" s="417"/>
      <c r="L116" s="417"/>
      <c r="M116" s="417"/>
      <c r="N116" s="417"/>
      <c r="O116" s="417"/>
      <c r="P116" s="259"/>
      <c r="Q116" s="260"/>
    </row>
    <row r="117" spans="1:17" ht="30" thickBot="1" thickTop="1">
      <c r="A117" s="278" t="s">
        <v>121</v>
      </c>
      <c r="B117" s="230" t="s">
        <v>47</v>
      </c>
      <c r="C117" s="310"/>
      <c r="D117" s="235">
        <f>C117*5/100</f>
        <v>0</v>
      </c>
      <c r="E117" s="315"/>
      <c r="F117" s="232"/>
      <c r="G117" s="232"/>
      <c r="H117" s="168"/>
      <c r="I117" s="169"/>
      <c r="J117" s="418"/>
      <c r="K117" s="419"/>
      <c r="L117" s="419"/>
      <c r="M117" s="419"/>
      <c r="N117" s="419"/>
      <c r="O117" s="419"/>
      <c r="P117" s="261"/>
      <c r="Q117" s="262"/>
    </row>
    <row r="118" spans="1:17" ht="21.75" thickTop="1">
      <c r="A118" s="229"/>
      <c r="C118"/>
      <c r="D118" s="231"/>
      <c r="E118" s="231"/>
      <c r="F118" s="233"/>
      <c r="G118" s="233"/>
      <c r="H118" s="168"/>
      <c r="I118" s="169"/>
      <c r="J118" s="418"/>
      <c r="K118" s="419"/>
      <c r="L118" s="419"/>
      <c r="M118" s="419"/>
      <c r="N118" s="419"/>
      <c r="O118" s="419"/>
      <c r="P118" s="261"/>
      <c r="Q118" s="262"/>
    </row>
    <row r="119" spans="6:17" ht="18" customHeight="1" thickBot="1">
      <c r="F119" s="233"/>
      <c r="G119" s="233"/>
      <c r="H119" s="168"/>
      <c r="I119" s="169"/>
      <c r="J119" s="420"/>
      <c r="K119" s="421"/>
      <c r="L119" s="421"/>
      <c r="M119" s="421"/>
      <c r="N119" s="421"/>
      <c r="O119" s="421"/>
      <c r="P119" s="263"/>
      <c r="Q119" s="264"/>
    </row>
    <row r="120" spans="6:17" ht="9.75" customHeight="1" thickBot="1">
      <c r="F120" s="233"/>
      <c r="G120" s="233"/>
      <c r="H120" s="168"/>
      <c r="I120" s="169"/>
      <c r="J120" s="316"/>
      <c r="K120" s="316"/>
      <c r="L120" s="316"/>
      <c r="M120" s="316"/>
      <c r="N120" s="316"/>
      <c r="O120" s="316"/>
      <c r="P120" s="280"/>
      <c r="Q120" s="280"/>
    </row>
    <row r="121" spans="1:7" ht="29.25" customHeight="1" thickBot="1">
      <c r="A121" s="422" t="s">
        <v>181</v>
      </c>
      <c r="B121" s="423"/>
      <c r="C121" s="423"/>
      <c r="D121" s="423"/>
      <c r="E121" s="423"/>
      <c r="F121" s="423"/>
      <c r="G121" s="424"/>
    </row>
    <row r="122" spans="1:18" ht="34.5" customHeight="1" thickBot="1" thickTop="1">
      <c r="A122" s="425" t="s">
        <v>171</v>
      </c>
      <c r="B122" s="426"/>
      <c r="C122" s="426"/>
      <c r="D122" s="427"/>
      <c r="E122" s="331"/>
      <c r="F122" s="327" t="s">
        <v>41</v>
      </c>
      <c r="G122" s="328" t="s">
        <v>42</v>
      </c>
      <c r="J122" s="414" t="s">
        <v>172</v>
      </c>
      <c r="K122" s="414"/>
      <c r="L122" s="414"/>
      <c r="M122" s="414"/>
      <c r="N122" s="414"/>
      <c r="O122" s="414"/>
      <c r="P122" s="414"/>
      <c r="Q122" s="414"/>
      <c r="R122" s="415"/>
    </row>
    <row r="123" spans="1:7" ht="18" customHeight="1" thickBot="1" thickTop="1">
      <c r="A123" s="177" t="s">
        <v>43</v>
      </c>
      <c r="B123" s="219"/>
      <c r="C123" s="129"/>
      <c r="D123" s="222">
        <v>873600</v>
      </c>
      <c r="E123" s="351">
        <v>0.015</v>
      </c>
      <c r="F123" s="223">
        <f>C123*1.5%</f>
        <v>0</v>
      </c>
      <c r="G123" s="195">
        <f>F123*5%</f>
        <v>0</v>
      </c>
    </row>
    <row r="124" spans="1:18" ht="18" customHeight="1" thickBot="1" thickTop="1">
      <c r="A124" s="179" t="s">
        <v>44</v>
      </c>
      <c r="B124" s="220">
        <f>+D123+1</f>
        <v>873601</v>
      </c>
      <c r="C124" s="130">
        <v>0</v>
      </c>
      <c r="D124" s="193">
        <v>3500000</v>
      </c>
      <c r="E124" s="351">
        <v>0.01</v>
      </c>
      <c r="F124" s="224">
        <f>(C124-B124)*1%+13104</f>
        <v>4367.99</v>
      </c>
      <c r="G124" s="197">
        <f>F124*5%</f>
        <v>218.3995</v>
      </c>
      <c r="J124" s="412" t="s">
        <v>173</v>
      </c>
      <c r="K124" s="412"/>
      <c r="L124" s="412"/>
      <c r="M124" s="412"/>
      <c r="N124" s="412"/>
      <c r="O124" s="412"/>
      <c r="P124" s="412"/>
      <c r="Q124" s="412"/>
      <c r="R124" s="413"/>
    </row>
    <row r="125" spans="1:18" ht="18" customHeight="1" thickBot="1" thickTop="1">
      <c r="A125" s="179" t="s">
        <v>44</v>
      </c>
      <c r="B125" s="220">
        <f>+D124+1</f>
        <v>3500001</v>
      </c>
      <c r="C125" s="130"/>
      <c r="D125" s="193">
        <v>7392000</v>
      </c>
      <c r="E125" s="351">
        <v>0.007</v>
      </c>
      <c r="F125" s="224">
        <f>(C125-B125)*0.7%+39368</f>
        <v>14867.993000000002</v>
      </c>
      <c r="G125" s="197">
        <f>F125*5%</f>
        <v>743.3996500000002</v>
      </c>
      <c r="J125" s="412"/>
      <c r="K125" s="412"/>
      <c r="L125" s="412"/>
      <c r="M125" s="412"/>
      <c r="N125" s="412"/>
      <c r="O125" s="412"/>
      <c r="P125" s="412"/>
      <c r="Q125" s="412"/>
      <c r="R125" s="413"/>
    </row>
    <row r="126" spans="1:18" ht="18" customHeight="1" thickBot="1" thickTop="1">
      <c r="A126" s="181" t="s">
        <v>45</v>
      </c>
      <c r="B126" s="221">
        <f>+D125+1</f>
        <v>7392001</v>
      </c>
      <c r="C126" s="131"/>
      <c r="D126" s="225"/>
      <c r="E126" s="351">
        <v>0.005</v>
      </c>
      <c r="F126" s="226">
        <f>(C126-B126)*0.5%+66612</f>
        <v>29651.995000000003</v>
      </c>
      <c r="G126" s="200">
        <f>F126*5%</f>
        <v>1482.5997500000003</v>
      </c>
      <c r="J126" s="412"/>
      <c r="K126" s="412"/>
      <c r="L126" s="412"/>
      <c r="M126" s="412"/>
      <c r="N126" s="412"/>
      <c r="O126" s="412"/>
      <c r="P126" s="412"/>
      <c r="Q126" s="412"/>
      <c r="R126" s="413"/>
    </row>
    <row r="127" ht="18" customHeight="1" thickTop="1"/>
    <row r="128" spans="3:5" ht="18" customHeight="1" thickBot="1">
      <c r="C128" s="411" t="s">
        <v>174</v>
      </c>
      <c r="D128" s="411"/>
      <c r="E128" s="227"/>
    </row>
    <row r="129" spans="3:16" ht="18" customHeight="1" thickTop="1">
      <c r="C129" s="323" t="s">
        <v>175</v>
      </c>
      <c r="D129" s="324">
        <f>D131*0.3</f>
        <v>0</v>
      </c>
      <c r="E129" s="346"/>
      <c r="K129" s="10"/>
      <c r="L129" s="10"/>
      <c r="M129" s="428" t="s">
        <v>180</v>
      </c>
      <c r="N129" s="429"/>
      <c r="O129" s="429"/>
      <c r="P129" s="430"/>
    </row>
    <row r="130" spans="3:16" ht="18" customHeight="1" thickBot="1">
      <c r="C130" s="323" t="s">
        <v>176</v>
      </c>
      <c r="D130" s="325">
        <f>D131*0.7</f>
        <v>0</v>
      </c>
      <c r="E130" s="347"/>
      <c r="K130" s="10"/>
      <c r="L130" s="10"/>
      <c r="M130" s="431"/>
      <c r="N130" s="432"/>
      <c r="O130" s="432"/>
      <c r="P130" s="433"/>
    </row>
    <row r="131" spans="3:8" ht="18" customHeight="1" thickBot="1" thickTop="1">
      <c r="C131" s="323" t="s">
        <v>177</v>
      </c>
      <c r="D131" s="352"/>
      <c r="E131" s="346"/>
      <c r="G131" s="434" t="s">
        <v>178</v>
      </c>
      <c r="H131" s="435"/>
    </row>
    <row r="132" ht="18" customHeight="1" thickBot="1"/>
    <row r="133" spans="2:17" ht="18" customHeight="1" thickBot="1">
      <c r="B133" s="168"/>
      <c r="C133" s="168"/>
      <c r="D133" s="227" t="s">
        <v>46</v>
      </c>
      <c r="E133" s="227"/>
      <c r="F133" s="232"/>
      <c r="G133" s="232"/>
      <c r="H133" s="168"/>
      <c r="I133" s="169"/>
      <c r="J133" s="416" t="s">
        <v>131</v>
      </c>
      <c r="K133" s="417"/>
      <c r="L133" s="417"/>
      <c r="M133" s="417"/>
      <c r="N133" s="417"/>
      <c r="O133" s="417"/>
      <c r="P133" s="326"/>
      <c r="Q133" s="280"/>
    </row>
    <row r="134" spans="1:17" ht="28.5" customHeight="1" thickBot="1" thickTop="1">
      <c r="A134" s="278" t="s">
        <v>179</v>
      </c>
      <c r="B134" s="230" t="s">
        <v>47</v>
      </c>
      <c r="C134" s="310"/>
      <c r="D134" s="235">
        <f>C134*5/100</f>
        <v>0</v>
      </c>
      <c r="E134" s="315"/>
      <c r="F134" s="232"/>
      <c r="G134" s="232"/>
      <c r="H134" s="168"/>
      <c r="I134" s="169"/>
      <c r="J134" s="418"/>
      <c r="K134" s="419"/>
      <c r="L134" s="419"/>
      <c r="M134" s="419"/>
      <c r="N134" s="419"/>
      <c r="O134" s="419"/>
      <c r="P134" s="326"/>
      <c r="Q134" s="280"/>
    </row>
    <row r="135" spans="1:17" ht="18" customHeight="1" thickTop="1">
      <c r="A135" s="229"/>
      <c r="C135"/>
      <c r="D135" s="231"/>
      <c r="E135" s="231"/>
      <c r="F135" s="233"/>
      <c r="G135" s="233"/>
      <c r="H135" s="168"/>
      <c r="I135" s="169"/>
      <c r="J135" s="418"/>
      <c r="K135" s="419"/>
      <c r="L135" s="419"/>
      <c r="M135" s="419"/>
      <c r="N135" s="419"/>
      <c r="O135" s="419"/>
      <c r="P135" s="326"/>
      <c r="Q135" s="280"/>
    </row>
    <row r="136" spans="6:17" ht="18" customHeight="1" thickBot="1">
      <c r="F136" s="233"/>
      <c r="G136" s="233"/>
      <c r="H136" s="168"/>
      <c r="I136" s="169"/>
      <c r="J136" s="420"/>
      <c r="K136" s="421"/>
      <c r="L136" s="421"/>
      <c r="M136" s="421"/>
      <c r="N136" s="421"/>
      <c r="O136" s="421"/>
      <c r="P136" s="326"/>
      <c r="Q136" s="280"/>
    </row>
    <row r="137" spans="1:7" ht="15">
      <c r="A137" s="119"/>
      <c r="B137"/>
      <c r="C137"/>
      <c r="D137"/>
      <c r="E137"/>
      <c r="F137" s="119"/>
      <c r="G137" s="119"/>
    </row>
    <row r="138" spans="1:7" ht="50.25" customHeight="1">
      <c r="A138" s="320" t="s">
        <v>126</v>
      </c>
      <c r="B138" s="321"/>
      <c r="C138" s="321"/>
      <c r="D138" s="321"/>
      <c r="E138" s="321"/>
      <c r="F138" s="322"/>
      <c r="G138" s="283"/>
    </row>
    <row r="139" spans="1:7" ht="30">
      <c r="A139" s="293" t="s">
        <v>127</v>
      </c>
      <c r="B139" s="294" t="s">
        <v>128</v>
      </c>
      <c r="C139" s="295" t="s">
        <v>41</v>
      </c>
      <c r="D139" s="295" t="s">
        <v>129</v>
      </c>
      <c r="E139" s="337"/>
      <c r="F139" s="283"/>
      <c r="G139" s="283"/>
    </row>
    <row r="140" spans="1:7" ht="18.75" customHeight="1">
      <c r="A140" s="304" t="s">
        <v>123</v>
      </c>
      <c r="B140" s="305" t="s">
        <v>124</v>
      </c>
      <c r="C140" s="288">
        <f>C19</f>
        <v>0</v>
      </c>
      <c r="D140" s="288">
        <f>D19</f>
        <v>0</v>
      </c>
      <c r="E140" s="338"/>
      <c r="F140" s="284"/>
      <c r="G140" s="284"/>
    </row>
    <row r="141" spans="1:7" ht="18.75" customHeight="1">
      <c r="A141" s="304" t="s">
        <v>168</v>
      </c>
      <c r="B141" s="305" t="s">
        <v>167</v>
      </c>
      <c r="C141" s="288">
        <f>+C52</f>
        <v>0</v>
      </c>
      <c r="D141" s="288">
        <f>+D52</f>
        <v>0</v>
      </c>
      <c r="E141" s="338"/>
      <c r="F141" s="284"/>
      <c r="G141" s="284"/>
    </row>
    <row r="142" spans="1:7" ht="18.75" customHeight="1">
      <c r="A142" s="304" t="s">
        <v>136</v>
      </c>
      <c r="B142" s="305" t="s">
        <v>169</v>
      </c>
      <c r="C142" s="288">
        <f>+C36</f>
        <v>0</v>
      </c>
      <c r="D142" s="288">
        <f>D21</f>
        <v>0</v>
      </c>
      <c r="E142" s="338"/>
      <c r="F142" s="284"/>
      <c r="G142" s="284"/>
    </row>
    <row r="143" spans="1:7" ht="18.75" customHeight="1">
      <c r="A143" s="306" t="s">
        <v>152</v>
      </c>
      <c r="B143" s="307" t="s">
        <v>137</v>
      </c>
      <c r="C143" s="288">
        <f>C71</f>
        <v>0</v>
      </c>
      <c r="D143" s="288">
        <f>D71</f>
        <v>0</v>
      </c>
      <c r="E143" s="338"/>
      <c r="F143" s="285"/>
      <c r="G143" s="284"/>
    </row>
    <row r="144" spans="1:7" ht="18.75" customHeight="1">
      <c r="A144" s="306" t="s">
        <v>153</v>
      </c>
      <c r="B144" s="307" t="s">
        <v>137</v>
      </c>
      <c r="C144" s="288">
        <f>C72</f>
        <v>0</v>
      </c>
      <c r="D144" s="288">
        <f>D72</f>
        <v>0</v>
      </c>
      <c r="E144" s="338"/>
      <c r="F144" s="286"/>
      <c r="G144" s="290"/>
    </row>
    <row r="145" spans="1:7" ht="18.75" customHeight="1">
      <c r="A145" s="306" t="s">
        <v>154</v>
      </c>
      <c r="B145" s="307" t="s">
        <v>155</v>
      </c>
      <c r="C145" s="288">
        <f>C88</f>
        <v>0</v>
      </c>
      <c r="D145" s="288">
        <f>D88</f>
        <v>0</v>
      </c>
      <c r="E145" s="338"/>
      <c r="F145" s="286"/>
      <c r="G145" s="290"/>
    </row>
    <row r="146" spans="1:7" ht="18.75" customHeight="1">
      <c r="A146" s="306" t="s">
        <v>156</v>
      </c>
      <c r="B146" s="307" t="s">
        <v>155</v>
      </c>
      <c r="C146" s="288">
        <f>C89</f>
        <v>0</v>
      </c>
      <c r="D146" s="288">
        <f>D89</f>
        <v>0</v>
      </c>
      <c r="E146" s="338"/>
      <c r="F146" s="286"/>
      <c r="G146" s="290"/>
    </row>
    <row r="147" spans="1:7" ht="18.75" customHeight="1">
      <c r="A147" s="308" t="s">
        <v>139</v>
      </c>
      <c r="B147" s="309" t="s">
        <v>125</v>
      </c>
      <c r="C147" s="289">
        <f>C103</f>
        <v>0</v>
      </c>
      <c r="D147" s="289">
        <f>D103</f>
        <v>0</v>
      </c>
      <c r="E147" s="339"/>
      <c r="F147" s="287"/>
      <c r="G147" s="287"/>
    </row>
    <row r="148" spans="1:7" ht="18.75" customHeight="1">
      <c r="A148" s="308" t="s">
        <v>140</v>
      </c>
      <c r="B148" s="309" t="s">
        <v>138</v>
      </c>
      <c r="C148" s="289">
        <f>C117</f>
        <v>0</v>
      </c>
      <c r="D148" s="289">
        <f>D117</f>
        <v>0</v>
      </c>
      <c r="E148" s="339"/>
      <c r="F148" s="287"/>
      <c r="G148" s="287"/>
    </row>
    <row r="149" spans="1:7" ht="18.75" customHeight="1">
      <c r="A149" s="329" t="s">
        <v>182</v>
      </c>
      <c r="B149" s="330" t="s">
        <v>183</v>
      </c>
      <c r="C149" s="289">
        <f>+C134</f>
        <v>0</v>
      </c>
      <c r="D149" s="289">
        <f>+D134</f>
        <v>0</v>
      </c>
      <c r="E149" s="339"/>
      <c r="F149" s="287"/>
      <c r="G149" s="287"/>
    </row>
    <row r="150" spans="1:7" ht="15">
      <c r="A150" s="287"/>
      <c r="B150" s="287"/>
      <c r="C150" s="287"/>
      <c r="D150" s="287"/>
      <c r="E150" s="287"/>
      <c r="F150" s="287"/>
      <c r="G150" s="287"/>
    </row>
    <row r="151" spans="1:7" ht="19.5" customHeight="1">
      <c r="A151" s="296" t="s">
        <v>141</v>
      </c>
      <c r="B151" s="291"/>
      <c r="C151" s="292">
        <f>SUM(C140:C150)</f>
        <v>0</v>
      </c>
      <c r="D151" s="292">
        <f>SUM(D140:D150)</f>
        <v>0</v>
      </c>
      <c r="E151" s="340"/>
      <c r="F151" s="287"/>
      <c r="G151" s="287"/>
    </row>
  </sheetData>
  <sheetProtection formatCells="0"/>
  <mergeCells count="48">
    <mergeCell ref="J80:Q83"/>
    <mergeCell ref="J86:O89"/>
    <mergeCell ref="A108:G108"/>
    <mergeCell ref="A109:D109"/>
    <mergeCell ref="J109:Q109"/>
    <mergeCell ref="A94:G94"/>
    <mergeCell ref="J111:Q113"/>
    <mergeCell ref="B115:C115"/>
    <mergeCell ref="J116:O119"/>
    <mergeCell ref="J102:O105"/>
    <mergeCell ref="J97:Q99"/>
    <mergeCell ref="A59:D59"/>
    <mergeCell ref="J95:Q95"/>
    <mergeCell ref="A74:G74"/>
    <mergeCell ref="A95:D95"/>
    <mergeCell ref="B101:C101"/>
    <mergeCell ref="J8:Q8"/>
    <mergeCell ref="J69:O72"/>
    <mergeCell ref="A77:G77"/>
    <mergeCell ref="A78:D78"/>
    <mergeCell ref="J62:Q65"/>
    <mergeCell ref="J59:Q59"/>
    <mergeCell ref="A58:G58"/>
    <mergeCell ref="J78:Q78"/>
    <mergeCell ref="J10:Q14"/>
    <mergeCell ref="A40:G40"/>
    <mergeCell ref="B2:C2"/>
    <mergeCell ref="A7:G7"/>
    <mergeCell ref="A8:D8"/>
    <mergeCell ref="A15:G15"/>
    <mergeCell ref="A24:G24"/>
    <mergeCell ref="A25:D25"/>
    <mergeCell ref="A41:D41"/>
    <mergeCell ref="J41:Q41"/>
    <mergeCell ref="J44:Q47"/>
    <mergeCell ref="J51:O54"/>
    <mergeCell ref="J27:Q31"/>
    <mergeCell ref="J18:O21"/>
    <mergeCell ref="J35:O38"/>
    <mergeCell ref="J25:Q25"/>
    <mergeCell ref="C128:D128"/>
    <mergeCell ref="J124:R126"/>
    <mergeCell ref="J122:R122"/>
    <mergeCell ref="J133:O136"/>
    <mergeCell ref="A121:G121"/>
    <mergeCell ref="A122:D122"/>
    <mergeCell ref="M129:P130"/>
    <mergeCell ref="G131:H131"/>
  </mergeCells>
  <printOptions/>
  <pageMargins left="0.3937007874015748" right="0.3937007874015748" top="0.35433070866141736" bottom="0.35433070866141736" header="0.31496062992125984" footer="0.31496062992125984"/>
  <pageSetup horizontalDpi="300" verticalDpi="300" orientation="portrait" paperSize="9" scale="80" r:id="rId2"/>
  <ignoredErrors>
    <ignoredError sqref="C148 C151:D15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">
      <selection activeCell="B11" sqref="B11"/>
    </sheetView>
  </sheetViews>
  <sheetFormatPr defaultColWidth="11.421875" defaultRowHeight="15"/>
  <cols>
    <col min="1" max="1" width="15.57421875" style="9" customWidth="1"/>
    <col min="2" max="2" width="29.28125" style="9" customWidth="1"/>
    <col min="3" max="3" width="23.8515625" style="9" customWidth="1"/>
    <col min="4" max="4" width="24.7109375" style="9" customWidth="1"/>
    <col min="5" max="5" width="14.7109375" style="28" customWidth="1"/>
    <col min="6" max="6" width="4.7109375" style="28" hidden="1" customWidth="1"/>
    <col min="7" max="7" width="28.421875" style="37" customWidth="1"/>
    <col min="8" max="8" width="9.421875" style="9" customWidth="1"/>
    <col min="9" max="9" width="16.421875" style="17" customWidth="1"/>
    <col min="10" max="10" width="11.57421875" style="9" customWidth="1"/>
    <col min="11" max="16384" width="11.421875" style="9" customWidth="1"/>
  </cols>
  <sheetData>
    <row r="1" spans="1:10" ht="71.25" customHeight="1" thickBot="1">
      <c r="A1" s="241" t="s">
        <v>93</v>
      </c>
      <c r="B1" s="1"/>
      <c r="C1" s="1"/>
      <c r="D1" s="1"/>
      <c r="E1" s="239"/>
      <c r="F1" s="515"/>
      <c r="G1" s="515"/>
      <c r="H1" s="515"/>
      <c r="I1" s="515"/>
      <c r="J1" s="1"/>
    </row>
    <row r="2" spans="1:10" ht="46.5" customHeight="1" thickBot="1">
      <c r="A2" s="516" t="s">
        <v>98</v>
      </c>
      <c r="B2" s="516"/>
      <c r="C2" s="1"/>
      <c r="D2" s="243" t="s">
        <v>86</v>
      </c>
      <c r="E2" s="513"/>
      <c r="F2" s="514"/>
      <c r="G2" s="514"/>
      <c r="H2" s="1"/>
      <c r="I2" s="1"/>
      <c r="J2" s="1"/>
    </row>
    <row r="3" spans="1:10" ht="39" customHeight="1" thickBot="1" thickTop="1">
      <c r="A3" s="516"/>
      <c r="B3" s="516"/>
      <c r="C3" s="500" t="s">
        <v>80</v>
      </c>
      <c r="D3" s="42">
        <f>100%-(D5+D7+D9+D11+D13)</f>
        <v>0.58</v>
      </c>
      <c r="E3" s="244" t="s">
        <v>81</v>
      </c>
      <c r="F3" s="245">
        <v>0.6</v>
      </c>
      <c r="G3" s="246">
        <f>D4*F3</f>
        <v>0</v>
      </c>
      <c r="H3" s="1"/>
      <c r="I3" s="1"/>
      <c r="J3" s="1"/>
    </row>
    <row r="4" spans="1:10" ht="39" customHeight="1" thickBot="1">
      <c r="A4" s="516"/>
      <c r="B4" s="516"/>
      <c r="C4" s="501"/>
      <c r="D4" s="247">
        <f>B9*D3</f>
        <v>0</v>
      </c>
      <c r="E4" s="248" t="s">
        <v>82</v>
      </c>
      <c r="F4" s="249">
        <v>0.5</v>
      </c>
      <c r="G4" s="250">
        <f>D4*F4</f>
        <v>0</v>
      </c>
      <c r="H4" s="502" t="s">
        <v>99</v>
      </c>
      <c r="I4" s="503"/>
      <c r="J4" s="504"/>
    </row>
    <row r="5" spans="1:10" ht="39" customHeight="1" thickBot="1" thickTop="1">
      <c r="A5" s="516"/>
      <c r="B5" s="516"/>
      <c r="C5" s="506" t="s">
        <v>84</v>
      </c>
      <c r="D5" s="43">
        <v>0.2</v>
      </c>
      <c r="E5" s="251" t="s">
        <v>81</v>
      </c>
      <c r="F5" s="252">
        <v>0.6</v>
      </c>
      <c r="G5" s="253">
        <f>D6*F5</f>
        <v>0</v>
      </c>
      <c r="H5" s="254"/>
      <c r="I5" s="1"/>
      <c r="J5" s="1"/>
    </row>
    <row r="6" spans="1:10" ht="39" customHeight="1" thickBot="1">
      <c r="A6" s="516"/>
      <c r="B6" s="516"/>
      <c r="C6" s="501"/>
      <c r="D6" s="247">
        <f>$B$9*D5</f>
        <v>0</v>
      </c>
      <c r="E6" s="248" t="s">
        <v>82</v>
      </c>
      <c r="F6" s="249">
        <v>0.5</v>
      </c>
      <c r="G6" s="255">
        <f>D6*F6</f>
        <v>0</v>
      </c>
      <c r="H6" s="502" t="s">
        <v>99</v>
      </c>
      <c r="I6" s="503"/>
      <c r="J6" s="504"/>
    </row>
    <row r="7" spans="1:10" ht="39" customHeight="1" thickBot="1" thickTop="1">
      <c r="A7" s="517"/>
      <c r="B7" s="517"/>
      <c r="C7" s="500" t="s">
        <v>85</v>
      </c>
      <c r="D7" s="42">
        <v>0.07</v>
      </c>
      <c r="E7" s="244" t="s">
        <v>81</v>
      </c>
      <c r="F7" s="245">
        <v>0.6</v>
      </c>
      <c r="G7" s="256">
        <f>D8*F7</f>
        <v>0</v>
      </c>
      <c r="H7" s="254"/>
      <c r="I7" s="1"/>
      <c r="J7" s="1"/>
    </row>
    <row r="8" spans="1:10" ht="39" customHeight="1" thickBot="1" thickTop="1">
      <c r="A8" s="5" t="s">
        <v>41</v>
      </c>
      <c r="B8" s="6">
        <v>1</v>
      </c>
      <c r="C8" s="501"/>
      <c r="D8" s="247">
        <f>$B$9*D7</f>
        <v>0</v>
      </c>
      <c r="E8" s="248" t="s">
        <v>82</v>
      </c>
      <c r="F8" s="249">
        <v>0.5</v>
      </c>
      <c r="G8" s="255">
        <f>D8*F8</f>
        <v>0</v>
      </c>
      <c r="H8" s="502" t="s">
        <v>99</v>
      </c>
      <c r="I8" s="503"/>
      <c r="J8" s="504"/>
    </row>
    <row r="9" spans="1:10" ht="39" customHeight="1" thickBot="1" thickTop="1">
      <c r="A9" s="7" t="s">
        <v>86</v>
      </c>
      <c r="B9" s="242">
        <f>+'Calculo de Honorarios'!C151</f>
        <v>0</v>
      </c>
      <c r="C9" s="500" t="s">
        <v>87</v>
      </c>
      <c r="D9" s="42">
        <v>0.05</v>
      </c>
      <c r="E9" s="244" t="s">
        <v>81</v>
      </c>
      <c r="F9" s="245">
        <v>0.6</v>
      </c>
      <c r="G9" s="246">
        <f>D10*F9</f>
        <v>0</v>
      </c>
      <c r="H9" s="1"/>
      <c r="I9" s="1"/>
      <c r="J9" s="1"/>
    </row>
    <row r="10" spans="1:10" ht="39" customHeight="1" thickBot="1" thickTop="1">
      <c r="A10" s="4"/>
      <c r="B10" s="4"/>
      <c r="C10" s="501"/>
      <c r="D10" s="247">
        <f>$B$9*D9</f>
        <v>0</v>
      </c>
      <c r="E10" s="248" t="s">
        <v>82</v>
      </c>
      <c r="F10" s="249">
        <v>0.5</v>
      </c>
      <c r="G10" s="255">
        <f>D10*F10</f>
        <v>0</v>
      </c>
      <c r="H10" s="502" t="s">
        <v>99</v>
      </c>
      <c r="I10" s="503"/>
      <c r="J10" s="504"/>
    </row>
    <row r="11" spans="1:10" ht="39" customHeight="1" thickBot="1" thickTop="1">
      <c r="A11" s="4"/>
      <c r="B11" s="4"/>
      <c r="C11" s="500" t="s">
        <v>88</v>
      </c>
      <c r="D11" s="42">
        <v>0.07</v>
      </c>
      <c r="E11" s="244" t="s">
        <v>81</v>
      </c>
      <c r="F11" s="245">
        <v>0.6</v>
      </c>
      <c r="G11" s="246">
        <f>D12*F11</f>
        <v>0</v>
      </c>
      <c r="H11" s="1"/>
      <c r="I11" s="1"/>
      <c r="J11" s="1"/>
    </row>
    <row r="12" spans="1:10" ht="39" customHeight="1" thickBot="1">
      <c r="A12" s="4"/>
      <c r="B12" s="3"/>
      <c r="C12" s="501"/>
      <c r="D12" s="247">
        <f>$B$9*D11</f>
        <v>0</v>
      </c>
      <c r="E12" s="248" t="s">
        <v>82</v>
      </c>
      <c r="F12" s="249">
        <v>0.5</v>
      </c>
      <c r="G12" s="255">
        <f>D12*F12</f>
        <v>0</v>
      </c>
      <c r="H12" s="502" t="s">
        <v>99</v>
      </c>
      <c r="I12" s="503"/>
      <c r="J12" s="504"/>
    </row>
    <row r="13" spans="1:10" ht="39" customHeight="1" thickBot="1" thickTop="1">
      <c r="A13" s="4"/>
      <c r="B13" s="4"/>
      <c r="C13" s="500" t="s">
        <v>89</v>
      </c>
      <c r="D13" s="42">
        <v>0.03</v>
      </c>
      <c r="E13" s="244" t="s">
        <v>81</v>
      </c>
      <c r="F13" s="245">
        <v>0.6</v>
      </c>
      <c r="G13" s="256">
        <f>D14*F13</f>
        <v>0</v>
      </c>
      <c r="H13" s="254"/>
      <c r="I13" s="1"/>
      <c r="J13" s="1"/>
    </row>
    <row r="14" spans="1:10" ht="39" customHeight="1" thickBot="1">
      <c r="A14" s="4"/>
      <c r="B14" s="4"/>
      <c r="C14" s="501"/>
      <c r="D14" s="247">
        <f>$B$9*D13</f>
        <v>0</v>
      </c>
      <c r="E14" s="248" t="s">
        <v>82</v>
      </c>
      <c r="F14" s="249">
        <v>0.5</v>
      </c>
      <c r="G14" s="255">
        <f>D14*F14</f>
        <v>0</v>
      </c>
      <c r="H14" s="502" t="s">
        <v>99</v>
      </c>
      <c r="I14" s="503"/>
      <c r="J14" s="504"/>
    </row>
    <row r="15" ht="62.25" customHeight="1" hidden="1" thickBot="1" thickTop="1">
      <c r="A15" s="8" t="s">
        <v>94</v>
      </c>
    </row>
    <row r="16" spans="1:9" ht="32.25" customHeight="1" hidden="1" thickTop="1">
      <c r="A16" s="10"/>
      <c r="B16" s="10"/>
      <c r="C16" s="496" t="s">
        <v>80</v>
      </c>
      <c r="D16" s="18">
        <f>100%-(D18+D20+D22+D24+D26)</f>
        <v>0.57</v>
      </c>
      <c r="I16" s="9"/>
    </row>
    <row r="17" spans="1:9" ht="32.25" customHeight="1" hidden="1" thickBot="1">
      <c r="A17" s="10"/>
      <c r="B17" s="10"/>
      <c r="C17" s="497"/>
      <c r="D17" s="19" t="e">
        <f>(B22+B23+B24)*D16</f>
        <v>#REF!</v>
      </c>
      <c r="I17" s="9"/>
    </row>
    <row r="18" spans="1:9" ht="32.25" customHeight="1" hidden="1" thickTop="1">
      <c r="A18" s="10"/>
      <c r="B18" s="10"/>
      <c r="C18" s="496" t="s">
        <v>84</v>
      </c>
      <c r="D18" s="18">
        <v>0.2</v>
      </c>
      <c r="I18" s="9"/>
    </row>
    <row r="19" spans="1:9" ht="32.25" customHeight="1" hidden="1" thickBot="1">
      <c r="A19" s="10"/>
      <c r="B19" s="10"/>
      <c r="C19" s="497"/>
      <c r="D19" s="19">
        <f>$B$9*D18</f>
        <v>0</v>
      </c>
      <c r="I19" s="9"/>
    </row>
    <row r="20" spans="1:9" ht="32.25" customHeight="1" hidden="1" thickBot="1" thickTop="1">
      <c r="A20" s="20"/>
      <c r="B20" s="21"/>
      <c r="C20" s="496" t="s">
        <v>85</v>
      </c>
      <c r="D20" s="18">
        <v>0.07</v>
      </c>
      <c r="I20" s="9"/>
    </row>
    <row r="21" spans="1:9" ht="32.25" customHeight="1" hidden="1" thickBot="1" thickTop="1">
      <c r="A21" s="22" t="s">
        <v>41</v>
      </c>
      <c r="B21" s="23">
        <v>1</v>
      </c>
      <c r="C21" s="505"/>
      <c r="D21" s="19">
        <f>$B$9*D20</f>
        <v>0</v>
      </c>
      <c r="I21" s="9"/>
    </row>
    <row r="22" spans="1:9" ht="32.25" customHeight="1" hidden="1" thickBot="1" thickTop="1">
      <c r="A22" s="24" t="s">
        <v>90</v>
      </c>
      <c r="B22" s="25">
        <f>'Calculo de Honorarios'!C110</f>
        <v>0</v>
      </c>
      <c r="C22" s="496" t="s">
        <v>87</v>
      </c>
      <c r="D22" s="18">
        <v>0.05</v>
      </c>
      <c r="I22" s="9"/>
    </row>
    <row r="23" spans="1:9" ht="32.25" customHeight="1" hidden="1" thickBot="1" thickTop="1">
      <c r="A23" s="26" t="s">
        <v>91</v>
      </c>
      <c r="B23" s="27" t="e">
        <f>'Calculo de Honorarios'!#REF!</f>
        <v>#REF!</v>
      </c>
      <c r="C23" s="497"/>
      <c r="D23" s="19">
        <f>$B$9*D22</f>
        <v>0</v>
      </c>
      <c r="I23" s="9"/>
    </row>
    <row r="24" spans="1:9" ht="32.25" customHeight="1" hidden="1" thickBot="1" thickTop="1">
      <c r="A24" s="26" t="s">
        <v>92</v>
      </c>
      <c r="B24" s="27" t="e">
        <f>'Calculo de Honorarios'!#REF!</f>
        <v>#REF!</v>
      </c>
      <c r="C24" s="496" t="s">
        <v>88</v>
      </c>
      <c r="D24" s="18">
        <v>0.08</v>
      </c>
      <c r="I24" s="9"/>
    </row>
    <row r="25" spans="1:9" ht="32.25" customHeight="1" hidden="1" thickBot="1" thickTop="1">
      <c r="A25" s="10"/>
      <c r="B25" s="16"/>
      <c r="C25" s="497"/>
      <c r="D25" s="19">
        <f>$B$9*D24</f>
        <v>0</v>
      </c>
      <c r="I25" s="9"/>
    </row>
    <row r="26" spans="1:9" ht="32.25" customHeight="1" hidden="1" thickTop="1">
      <c r="A26" s="10"/>
      <c r="B26" s="10"/>
      <c r="C26" s="496" t="s">
        <v>89</v>
      </c>
      <c r="D26" s="18">
        <v>0.03</v>
      </c>
      <c r="I26" s="9"/>
    </row>
    <row r="27" spans="1:9" ht="32.25" customHeight="1" hidden="1" thickBot="1">
      <c r="A27" s="10"/>
      <c r="B27" s="10"/>
      <c r="C27" s="497"/>
      <c r="D27" s="19">
        <f>$B$9*D26</f>
        <v>0</v>
      </c>
      <c r="I27" s="9"/>
    </row>
    <row r="28" spans="1:10" ht="20.25" thickBot="1" thickTop="1">
      <c r="A28" s="1"/>
      <c r="B28" s="1"/>
      <c r="C28" s="1"/>
      <c r="D28" s="1"/>
      <c r="E28" s="239"/>
      <c r="F28" s="239"/>
      <c r="G28" s="240"/>
      <c r="H28" s="1"/>
      <c r="I28" s="2"/>
      <c r="J28" s="1"/>
    </row>
    <row r="29" spans="1:10" ht="46.5" customHeight="1" thickBot="1">
      <c r="A29" s="1"/>
      <c r="B29" s="1"/>
      <c r="C29" s="498" t="s">
        <v>95</v>
      </c>
      <c r="D29" s="499"/>
      <c r="E29" s="518">
        <v>0</v>
      </c>
      <c r="F29" s="519"/>
      <c r="G29" s="519"/>
      <c r="H29" s="519"/>
      <c r="I29" s="520"/>
      <c r="J29" s="1"/>
    </row>
    <row r="30" spans="1:10" ht="19.5" thickBot="1">
      <c r="A30" s="1"/>
      <c r="B30" s="1"/>
      <c r="C30" s="1"/>
      <c r="D30" s="1"/>
      <c r="E30" s="239"/>
      <c r="F30" s="239"/>
      <c r="G30" s="240"/>
      <c r="H30" s="1"/>
      <c r="I30" s="2"/>
      <c r="J30" s="1"/>
    </row>
    <row r="31" spans="1:10" ht="30.75" customHeight="1">
      <c r="A31" s="1"/>
      <c r="B31" s="1"/>
      <c r="C31" s="1"/>
      <c r="D31" s="1"/>
      <c r="E31" s="507" t="s">
        <v>97</v>
      </c>
      <c r="F31" s="508"/>
      <c r="G31" s="508"/>
      <c r="H31" s="508"/>
      <c r="I31" s="509"/>
      <c r="J31" s="1"/>
    </row>
    <row r="32" spans="1:10" ht="38.25" customHeight="1" thickBot="1">
      <c r="A32" s="1"/>
      <c r="B32" s="1"/>
      <c r="C32" s="1"/>
      <c r="D32" s="1"/>
      <c r="E32" s="510" t="s">
        <v>96</v>
      </c>
      <c r="F32" s="511"/>
      <c r="G32" s="511"/>
      <c r="H32" s="511"/>
      <c r="I32" s="512"/>
      <c r="J32" s="1"/>
    </row>
  </sheetData>
  <sheetProtection password="87BA" sheet="1" formatCells="0" formatColumns="0" formatRows="0"/>
  <mergeCells count="25">
    <mergeCell ref="E31:I31"/>
    <mergeCell ref="E32:I32"/>
    <mergeCell ref="E2:G2"/>
    <mergeCell ref="F1:I1"/>
    <mergeCell ref="A2:B7"/>
    <mergeCell ref="H4:J4"/>
    <mergeCell ref="H6:J6"/>
    <mergeCell ref="H8:J8"/>
    <mergeCell ref="H10:J10"/>
    <mergeCell ref="E29:I29"/>
    <mergeCell ref="H12:J12"/>
    <mergeCell ref="C3:C4"/>
    <mergeCell ref="C5:C6"/>
    <mergeCell ref="C7:C8"/>
    <mergeCell ref="C9:C10"/>
    <mergeCell ref="C11:C12"/>
    <mergeCell ref="C24:C25"/>
    <mergeCell ref="C26:C27"/>
    <mergeCell ref="C29:D29"/>
    <mergeCell ref="C13:C14"/>
    <mergeCell ref="C16:C17"/>
    <mergeCell ref="H14:J14"/>
    <mergeCell ref="C18:C19"/>
    <mergeCell ref="C20:C21"/>
    <mergeCell ref="C22:C23"/>
  </mergeCells>
  <printOptions/>
  <pageMargins left="0.7086614173228347" right="0.35433070866141736" top="0.35433070866141736" bottom="0.31496062992125984" header="0.31496062992125984" footer="0.31496062992125984"/>
  <pageSetup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5.57421875" style="9" customWidth="1"/>
    <col min="2" max="2" width="22.00390625" style="9" customWidth="1"/>
    <col min="3" max="3" width="23.8515625" style="9" customWidth="1"/>
    <col min="4" max="4" width="16.28125" style="9" customWidth="1"/>
    <col min="5" max="5" width="14.7109375" style="28" customWidth="1"/>
    <col min="6" max="6" width="4.7109375" style="28" customWidth="1"/>
    <col min="7" max="7" width="23.00390625" style="37" customWidth="1"/>
    <col min="8" max="8" width="9.421875" style="9" customWidth="1"/>
    <col min="9" max="9" width="16.421875" style="17" customWidth="1"/>
    <col min="10" max="16384" width="11.421875" style="9" customWidth="1"/>
  </cols>
  <sheetData>
    <row r="1" spans="1:9" ht="71.25" customHeight="1" thickBot="1">
      <c r="A1" s="35" t="s">
        <v>93</v>
      </c>
      <c r="F1" s="521"/>
      <c r="G1" s="521"/>
      <c r="H1" s="521"/>
      <c r="I1" s="521"/>
    </row>
    <row r="2" spans="1:9" ht="46.5" customHeight="1" thickBot="1">
      <c r="A2" s="522" t="s">
        <v>98</v>
      </c>
      <c r="B2" s="522"/>
      <c r="D2" s="34" t="s">
        <v>86</v>
      </c>
      <c r="E2" s="524"/>
      <c r="F2" s="525"/>
      <c r="G2" s="526"/>
      <c r="H2" s="527" t="s">
        <v>99</v>
      </c>
      <c r="I2" s="528"/>
    </row>
    <row r="3" spans="1:9" ht="32.25" customHeight="1" thickTop="1">
      <c r="A3" s="522"/>
      <c r="B3" s="522"/>
      <c r="C3" s="496" t="s">
        <v>80</v>
      </c>
      <c r="D3" s="33">
        <f>100%-(D5+D7+D9+D11+D13)</f>
        <v>0.58</v>
      </c>
      <c r="E3" s="29" t="s">
        <v>81</v>
      </c>
      <c r="F3" s="31">
        <v>0.6</v>
      </c>
      <c r="G3" s="38" t="e">
        <f>D4*F3</f>
        <v>#REF!</v>
      </c>
      <c r="H3" s="529"/>
      <c r="I3" s="530"/>
    </row>
    <row r="4" spans="1:9" ht="32.25" customHeight="1" thickBot="1">
      <c r="A4" s="522"/>
      <c r="B4" s="522"/>
      <c r="C4" s="497"/>
      <c r="D4" s="40" t="e">
        <f>B9*D3</f>
        <v>#REF!</v>
      </c>
      <c r="E4" s="30" t="s">
        <v>82</v>
      </c>
      <c r="F4" s="32">
        <v>0.4</v>
      </c>
      <c r="G4" s="41" t="e">
        <f>D4*F4</f>
        <v>#REF!</v>
      </c>
      <c r="H4" s="12" t="s">
        <v>83</v>
      </c>
      <c r="I4" s="39" t="e">
        <f>G4+(G4*25%)</f>
        <v>#REF!</v>
      </c>
    </row>
    <row r="5" spans="1:9" ht="32.25" customHeight="1" thickTop="1">
      <c r="A5" s="522"/>
      <c r="B5" s="522"/>
      <c r="C5" s="496" t="s">
        <v>84</v>
      </c>
      <c r="D5" s="11">
        <v>0.2</v>
      </c>
      <c r="E5" s="29" t="s">
        <v>81</v>
      </c>
      <c r="F5" s="31">
        <v>0.6</v>
      </c>
      <c r="G5" s="38" t="e">
        <f>D6*F5</f>
        <v>#REF!</v>
      </c>
      <c r="H5" s="531"/>
      <c r="I5" s="532"/>
    </row>
    <row r="6" spans="1:9" ht="32.25" customHeight="1" thickBot="1">
      <c r="A6" s="522"/>
      <c r="B6" s="522"/>
      <c r="C6" s="497"/>
      <c r="D6" s="40" t="e">
        <f>$B$9*D5</f>
        <v>#REF!</v>
      </c>
      <c r="E6" s="30" t="s">
        <v>82</v>
      </c>
      <c r="F6" s="32">
        <v>0.4</v>
      </c>
      <c r="G6" s="41" t="e">
        <f>D6*F6</f>
        <v>#REF!</v>
      </c>
      <c r="H6" s="12" t="s">
        <v>83</v>
      </c>
      <c r="I6" s="39" t="e">
        <f>G6+(G6*25%)</f>
        <v>#REF!</v>
      </c>
    </row>
    <row r="7" spans="1:9" ht="32.25" customHeight="1" thickBot="1" thickTop="1">
      <c r="A7" s="523"/>
      <c r="B7" s="523"/>
      <c r="C7" s="496" t="s">
        <v>85</v>
      </c>
      <c r="D7" s="11">
        <v>0.07</v>
      </c>
      <c r="E7" s="29" t="s">
        <v>81</v>
      </c>
      <c r="F7" s="31">
        <v>0.6</v>
      </c>
      <c r="G7" s="38" t="e">
        <f>D8*F7</f>
        <v>#REF!</v>
      </c>
      <c r="H7" s="531"/>
      <c r="I7" s="532"/>
    </row>
    <row r="8" spans="1:9" ht="32.25" customHeight="1" thickBot="1" thickTop="1">
      <c r="A8" s="13" t="s">
        <v>41</v>
      </c>
      <c r="B8" s="14">
        <v>1</v>
      </c>
      <c r="C8" s="497"/>
      <c r="D8" s="40" t="e">
        <f>$B$9*D7</f>
        <v>#REF!</v>
      </c>
      <c r="E8" s="30" t="s">
        <v>82</v>
      </c>
      <c r="F8" s="32">
        <v>0.4</v>
      </c>
      <c r="G8" s="41" t="e">
        <f>D8*F8</f>
        <v>#REF!</v>
      </c>
      <c r="H8" s="12" t="s">
        <v>83</v>
      </c>
      <c r="I8" s="39" t="e">
        <f>G8+(G8*25%)</f>
        <v>#REF!</v>
      </c>
    </row>
    <row r="9" spans="1:9" ht="32.25" customHeight="1" thickBot="1" thickTop="1">
      <c r="A9" s="15" t="s">
        <v>86</v>
      </c>
      <c r="B9" s="36" t="e">
        <f>'Calculo de Honorarios'!#REF!</f>
        <v>#REF!</v>
      </c>
      <c r="C9" s="496" t="s">
        <v>87</v>
      </c>
      <c r="D9" s="11">
        <v>0.05</v>
      </c>
      <c r="E9" s="29" t="s">
        <v>81</v>
      </c>
      <c r="F9" s="31">
        <v>0.6</v>
      </c>
      <c r="G9" s="38" t="e">
        <f>D10*F9</f>
        <v>#REF!</v>
      </c>
      <c r="H9" s="531"/>
      <c r="I9" s="532"/>
    </row>
    <row r="10" spans="1:11" ht="32.25" customHeight="1" thickBot="1" thickTop="1">
      <c r="A10" s="10"/>
      <c r="B10" s="10"/>
      <c r="C10" s="497"/>
      <c r="D10" s="40" t="e">
        <f>$B$9*D9</f>
        <v>#REF!</v>
      </c>
      <c r="E10" s="30" t="s">
        <v>82</v>
      </c>
      <c r="F10" s="32">
        <v>0.4</v>
      </c>
      <c r="G10" s="41" t="e">
        <f>D10*F10</f>
        <v>#REF!</v>
      </c>
      <c r="H10" s="12" t="s">
        <v>83</v>
      </c>
      <c r="I10" s="39" t="e">
        <f>G10+(G10*25%)</f>
        <v>#REF!</v>
      </c>
      <c r="K10" s="17"/>
    </row>
    <row r="11" spans="1:9" ht="32.25" customHeight="1" thickTop="1">
      <c r="A11" s="10"/>
      <c r="B11" s="10"/>
      <c r="C11" s="496" t="s">
        <v>88</v>
      </c>
      <c r="D11" s="11">
        <v>0.07</v>
      </c>
      <c r="E11" s="29" t="s">
        <v>81</v>
      </c>
      <c r="F11" s="31">
        <v>0.6</v>
      </c>
      <c r="G11" s="38" t="e">
        <f>D12*F11</f>
        <v>#REF!</v>
      </c>
      <c r="H11" s="531"/>
      <c r="I11" s="532"/>
    </row>
    <row r="12" spans="1:9" ht="32.25" customHeight="1" thickBot="1">
      <c r="A12" s="10"/>
      <c r="B12" s="16"/>
      <c r="C12" s="497"/>
      <c r="D12" s="40" t="e">
        <f>$B$9*D11</f>
        <v>#REF!</v>
      </c>
      <c r="E12" s="30" t="s">
        <v>82</v>
      </c>
      <c r="F12" s="32">
        <v>0.4</v>
      </c>
      <c r="G12" s="41" t="e">
        <f>D12*F12</f>
        <v>#REF!</v>
      </c>
      <c r="H12" s="12" t="s">
        <v>83</v>
      </c>
      <c r="I12" s="39" t="e">
        <f>G12+(G12*25%)</f>
        <v>#REF!</v>
      </c>
    </row>
    <row r="13" spans="1:9" ht="32.25" customHeight="1" thickTop="1">
      <c r="A13" s="10"/>
      <c r="B13" s="10"/>
      <c r="C13" s="496" t="s">
        <v>89</v>
      </c>
      <c r="D13" s="11">
        <v>0.03</v>
      </c>
      <c r="E13" s="29" t="s">
        <v>81</v>
      </c>
      <c r="F13" s="31">
        <v>0.6</v>
      </c>
      <c r="G13" s="38" t="e">
        <f>D14*F13</f>
        <v>#REF!</v>
      </c>
      <c r="H13" s="531"/>
      <c r="I13" s="532"/>
    </row>
    <row r="14" spans="1:9" ht="32.25" customHeight="1" thickBot="1">
      <c r="A14" s="10"/>
      <c r="B14" s="10"/>
      <c r="C14" s="497"/>
      <c r="D14" s="40" t="e">
        <f>$B$9*D13</f>
        <v>#REF!</v>
      </c>
      <c r="E14" s="30" t="s">
        <v>82</v>
      </c>
      <c r="F14" s="32">
        <v>0.4</v>
      </c>
      <c r="G14" s="41" t="e">
        <f>D14*F14</f>
        <v>#REF!</v>
      </c>
      <c r="H14" s="12" t="s">
        <v>83</v>
      </c>
      <c r="I14" s="39" t="e">
        <f>G14+(G14*25%)</f>
        <v>#REF!</v>
      </c>
    </row>
    <row r="15" ht="62.25" customHeight="1" hidden="1">
      <c r="A15" s="8" t="s">
        <v>94</v>
      </c>
    </row>
    <row r="16" spans="1:9" ht="32.25" customHeight="1" hidden="1">
      <c r="A16" s="10"/>
      <c r="B16" s="10"/>
      <c r="C16" s="496" t="s">
        <v>80</v>
      </c>
      <c r="D16" s="18">
        <f>100%-(D18+D20+D22+D24+D26)</f>
        <v>0.57</v>
      </c>
      <c r="I16" s="9"/>
    </row>
    <row r="17" spans="1:9" ht="32.25" customHeight="1" hidden="1">
      <c r="A17" s="10"/>
      <c r="B17" s="10"/>
      <c r="C17" s="497"/>
      <c r="D17" s="19" t="e">
        <f>(B22+B23+B24)*D16</f>
        <v>#REF!</v>
      </c>
      <c r="I17" s="9"/>
    </row>
    <row r="18" spans="1:9" ht="32.25" customHeight="1" hidden="1">
      <c r="A18" s="10"/>
      <c r="B18" s="10"/>
      <c r="C18" s="496" t="s">
        <v>84</v>
      </c>
      <c r="D18" s="18">
        <v>0.2</v>
      </c>
      <c r="I18" s="9"/>
    </row>
    <row r="19" spans="1:9" ht="32.25" customHeight="1" hidden="1">
      <c r="A19" s="10"/>
      <c r="B19" s="10"/>
      <c r="C19" s="497"/>
      <c r="D19" s="19" t="e">
        <f>$B$9*D18</f>
        <v>#REF!</v>
      </c>
      <c r="I19" s="9"/>
    </row>
    <row r="20" spans="1:9" ht="32.25" customHeight="1" hidden="1">
      <c r="A20" s="20"/>
      <c r="B20" s="21"/>
      <c r="C20" s="496" t="s">
        <v>85</v>
      </c>
      <c r="D20" s="18">
        <v>0.07</v>
      </c>
      <c r="I20" s="9"/>
    </row>
    <row r="21" spans="1:9" ht="32.25" customHeight="1" hidden="1">
      <c r="A21" s="22" t="s">
        <v>41</v>
      </c>
      <c r="B21" s="23">
        <v>1</v>
      </c>
      <c r="C21" s="505"/>
      <c r="D21" s="19" t="e">
        <f>$B$9*D20</f>
        <v>#REF!</v>
      </c>
      <c r="I21" s="9"/>
    </row>
    <row r="22" spans="1:9" ht="32.25" customHeight="1" hidden="1">
      <c r="A22" s="24" t="s">
        <v>90</v>
      </c>
      <c r="B22" s="25">
        <f>'Calculo de Honorarios'!C110</f>
        <v>0</v>
      </c>
      <c r="C22" s="496" t="s">
        <v>87</v>
      </c>
      <c r="D22" s="18">
        <v>0.05</v>
      </c>
      <c r="I22" s="9"/>
    </row>
    <row r="23" spans="1:9" ht="32.25" customHeight="1" hidden="1">
      <c r="A23" s="26" t="s">
        <v>91</v>
      </c>
      <c r="B23" s="27" t="e">
        <f>'Calculo de Honorarios'!#REF!</f>
        <v>#REF!</v>
      </c>
      <c r="C23" s="497"/>
      <c r="D23" s="19" t="e">
        <f>$B$9*D22</f>
        <v>#REF!</v>
      </c>
      <c r="I23" s="9"/>
    </row>
    <row r="24" spans="1:9" ht="32.25" customHeight="1" hidden="1">
      <c r="A24" s="26" t="s">
        <v>92</v>
      </c>
      <c r="B24" s="27" t="e">
        <f>'Calculo de Honorarios'!#REF!</f>
        <v>#REF!</v>
      </c>
      <c r="C24" s="496" t="s">
        <v>88</v>
      </c>
      <c r="D24" s="18">
        <v>0.08</v>
      </c>
      <c r="I24" s="9"/>
    </row>
    <row r="25" spans="1:9" ht="32.25" customHeight="1" hidden="1">
      <c r="A25" s="10"/>
      <c r="B25" s="16"/>
      <c r="C25" s="497"/>
      <c r="D25" s="19" t="e">
        <f>$B$9*D24</f>
        <v>#REF!</v>
      </c>
      <c r="I25" s="9"/>
    </row>
    <row r="26" spans="1:9" ht="32.25" customHeight="1" hidden="1">
      <c r="A26" s="10"/>
      <c r="B26" s="10"/>
      <c r="C26" s="496" t="s">
        <v>89</v>
      </c>
      <c r="D26" s="18">
        <v>0.03</v>
      </c>
      <c r="I26" s="9"/>
    </row>
    <row r="27" spans="1:9" ht="32.25" customHeight="1" hidden="1">
      <c r="A27" s="10"/>
      <c r="B27" s="10"/>
      <c r="C27" s="497"/>
      <c r="D27" s="19" t="e">
        <f>$B$9*D26</f>
        <v>#REF!</v>
      </c>
      <c r="I27" s="9"/>
    </row>
    <row r="28" ht="20.25" thickBot="1" thickTop="1"/>
    <row r="29" spans="3:9" ht="46.5" customHeight="1" thickBot="1">
      <c r="C29" s="533" t="s">
        <v>95</v>
      </c>
      <c r="D29" s="534"/>
      <c r="E29" s="518">
        <v>0</v>
      </c>
      <c r="F29" s="519"/>
      <c r="G29" s="519"/>
      <c r="H29" s="519"/>
      <c r="I29" s="520"/>
    </row>
    <row r="30" ht="19.5" thickBot="1"/>
    <row r="31" spans="5:9" ht="30.75" customHeight="1">
      <c r="E31" s="535" t="s">
        <v>97</v>
      </c>
      <c r="F31" s="536"/>
      <c r="G31" s="536"/>
      <c r="H31" s="536"/>
      <c r="I31" s="537"/>
    </row>
    <row r="32" spans="5:9" ht="38.25" customHeight="1" thickBot="1">
      <c r="E32" s="538" t="s">
        <v>96</v>
      </c>
      <c r="F32" s="539"/>
      <c r="G32" s="539"/>
      <c r="H32" s="539"/>
      <c r="I32" s="540"/>
    </row>
  </sheetData>
  <sheetProtection/>
  <mergeCells count="26">
    <mergeCell ref="C29:D29"/>
    <mergeCell ref="E29:I29"/>
    <mergeCell ref="E31:I31"/>
    <mergeCell ref="E32:I32"/>
    <mergeCell ref="C16:C17"/>
    <mergeCell ref="C18:C19"/>
    <mergeCell ref="C20:C21"/>
    <mergeCell ref="C22:C23"/>
    <mergeCell ref="C24:C25"/>
    <mergeCell ref="C26:C27"/>
    <mergeCell ref="C9:C10"/>
    <mergeCell ref="H9:I9"/>
    <mergeCell ref="C11:C12"/>
    <mergeCell ref="H11:I11"/>
    <mergeCell ref="C13:C14"/>
    <mergeCell ref="H13:I13"/>
    <mergeCell ref="F1:I1"/>
    <mergeCell ref="A2:B7"/>
    <mergeCell ref="E2:G2"/>
    <mergeCell ref="H2:I2"/>
    <mergeCell ref="C3:C4"/>
    <mergeCell ref="H3:I3"/>
    <mergeCell ref="C5:C6"/>
    <mergeCell ref="H5:I5"/>
    <mergeCell ref="C7:C8"/>
    <mergeCell ref="H7:I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Aromí</dc:creator>
  <cp:keywords/>
  <dc:description/>
  <cp:lastModifiedBy>Gerardo Aromí</cp:lastModifiedBy>
  <cp:lastPrinted>2016-04-21T14:46:25Z</cp:lastPrinted>
  <dcterms:created xsi:type="dcterms:W3CDTF">2014-10-16T10:59:54Z</dcterms:created>
  <dcterms:modified xsi:type="dcterms:W3CDTF">2017-05-09T13:14:39Z</dcterms:modified>
  <cp:category/>
  <cp:version/>
  <cp:contentType/>
  <cp:contentStatus/>
</cp:coreProperties>
</file>